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16380" windowHeight="8190" tabRatio="666"/>
  </bookViews>
  <sheets>
    <sheet name="CONFIGURAÇÕES" sheetId="4" r:id="rId1"/>
    <sheet name="BOLETIM" sheetId="3" r:id="rId2"/>
  </sheets>
  <definedNames>
    <definedName name="_xlnm.Print_Area" localSheetId="1">BOLETIM!$A$2:$BN$198</definedName>
    <definedName name="_xlnm.Print_Titles" localSheetId="1">BOLETIM!$2:$6</definedName>
  </definedNames>
  <calcPr calcId="145621"/>
</workbook>
</file>

<file path=xl/calcChain.xml><?xml version="1.0" encoding="utf-8"?>
<calcChain xmlns="http://schemas.openxmlformats.org/spreadsheetml/2006/main">
  <c r="BR14" i="3" l="1"/>
  <c r="BT14" i="3"/>
  <c r="BW14" i="3"/>
  <c r="BV14" i="3"/>
  <c r="BB26" i="3" l="1"/>
  <c r="BB27" i="3"/>
  <c r="BB28" i="3"/>
  <c r="BB29" i="3"/>
  <c r="BB30" i="3"/>
  <c r="BB31" i="3"/>
  <c r="BV42" i="3"/>
  <c r="BU42" i="3"/>
  <c r="BT42" i="3"/>
  <c r="BS44" i="3"/>
  <c r="BS45" i="3"/>
  <c r="BS46" i="3"/>
  <c r="BS47" i="3"/>
  <c r="BS48" i="3"/>
  <c r="BS49" i="3"/>
  <c r="BS50" i="3"/>
  <c r="BS51" i="3"/>
  <c r="BS52" i="3"/>
  <c r="BS53" i="3"/>
  <c r="BS54" i="3"/>
  <c r="BS55" i="3"/>
  <c r="BS56" i="3"/>
  <c r="BS57" i="3"/>
  <c r="BS58" i="3"/>
  <c r="BS43" i="3"/>
  <c r="BX43" i="3"/>
  <c r="BZ43" i="3" s="1"/>
  <c r="AM33" i="3"/>
  <c r="AP33" i="3"/>
  <c r="AD33" i="3"/>
  <c r="AA16" i="3"/>
  <c r="BR16" i="3" s="1"/>
  <c r="BS42" i="3"/>
  <c r="AA17" i="3"/>
  <c r="BR17" i="3" s="1"/>
  <c r="AA18" i="3"/>
  <c r="BR18" i="3" s="1"/>
  <c r="AA19" i="3"/>
  <c r="BR19" i="3" s="1"/>
  <c r="AA20" i="3"/>
  <c r="BR20" i="3" s="1"/>
  <c r="AA21" i="3"/>
  <c r="BR21" i="3" s="1"/>
  <c r="AA22" i="3"/>
  <c r="BR22" i="3" s="1"/>
  <c r="AA23" i="3"/>
  <c r="BR23" i="3" s="1"/>
  <c r="AA24" i="3"/>
  <c r="BR24" i="3" s="1"/>
  <c r="AA25" i="3"/>
  <c r="BR25" i="3" s="1"/>
  <c r="AA26" i="3"/>
  <c r="BR26" i="3" s="1"/>
  <c r="AA27" i="3"/>
  <c r="BR27" i="3" s="1"/>
  <c r="AA28" i="3"/>
  <c r="BR28" i="3" s="1"/>
  <c r="AA29" i="3"/>
  <c r="BR29" i="3" s="1"/>
  <c r="AA30" i="3"/>
  <c r="BR30" i="3" s="1"/>
  <c r="AA31" i="3"/>
  <c r="BR31" i="3" s="1"/>
  <c r="U33" i="3"/>
  <c r="X33" i="3"/>
  <c r="AG33" i="3"/>
  <c r="AV33" i="3"/>
  <c r="CF11" i="3"/>
  <c r="B92" i="3"/>
  <c r="R150" i="3"/>
  <c r="B150" i="3"/>
  <c r="AH175" i="3"/>
  <c r="AX175" i="3"/>
  <c r="B125" i="3"/>
  <c r="B100" i="3"/>
  <c r="R100" i="3"/>
  <c r="AH150" i="3"/>
  <c r="AH125" i="3"/>
  <c r="AX150" i="3"/>
  <c r="B175" i="3"/>
  <c r="R125" i="3"/>
  <c r="AX100" i="3"/>
  <c r="AX125" i="3"/>
  <c r="R175" i="3"/>
  <c r="AH100" i="3"/>
  <c r="AA33" i="3" l="1"/>
  <c r="BU44" i="3"/>
  <c r="BU45" i="3"/>
  <c r="BU46" i="3"/>
  <c r="BU47" i="3"/>
  <c r="BU48" i="3"/>
  <c r="BU49" i="3"/>
  <c r="BU50" i="3"/>
  <c r="BU51" i="3"/>
  <c r="BU52" i="3"/>
  <c r="BU53" i="3"/>
  <c r="BU54" i="3"/>
  <c r="BU55" i="3"/>
  <c r="BU56" i="3"/>
  <c r="BU57" i="3"/>
  <c r="BU58" i="3"/>
  <c r="BU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V56" i="3"/>
  <c r="BV57" i="3"/>
  <c r="BV58" i="3"/>
  <c r="BV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T56" i="3"/>
  <c r="BT57" i="3"/>
  <c r="BT58" i="3"/>
  <c r="BT43" i="3"/>
  <c r="CC43" i="3" s="1"/>
  <c r="CA43" i="3"/>
  <c r="BX31" i="3"/>
  <c r="AS31" i="3" s="1"/>
  <c r="BU31" i="3" s="1"/>
  <c r="BX30" i="3"/>
  <c r="AS30" i="3" s="1"/>
  <c r="BX29" i="3"/>
  <c r="AS29" i="3" s="1"/>
  <c r="BU29" i="3" s="1"/>
  <c r="BX28" i="3"/>
  <c r="AS28" i="3" s="1"/>
  <c r="BX27" i="3"/>
  <c r="AS27" i="3" s="1"/>
  <c r="BU27" i="3" s="1"/>
  <c r="BX26" i="3"/>
  <c r="AS26" i="3" s="1"/>
  <c r="BX25" i="3"/>
  <c r="AS25" i="3" s="1"/>
  <c r="BU25" i="3" s="1"/>
  <c r="BX24" i="3"/>
  <c r="AS24" i="3" s="1"/>
  <c r="BX23" i="3"/>
  <c r="AS23" i="3" s="1"/>
  <c r="BU23" i="3" s="1"/>
  <c r="BX22" i="3"/>
  <c r="AS22" i="3" s="1"/>
  <c r="BX21" i="3"/>
  <c r="AS21" i="3" s="1"/>
  <c r="BU21" i="3" s="1"/>
  <c r="BX20" i="3"/>
  <c r="AS20" i="3" s="1"/>
  <c r="BX19" i="3"/>
  <c r="AS19" i="3" s="1"/>
  <c r="BU19" i="3" s="1"/>
  <c r="BX18" i="3"/>
  <c r="AS18" i="3" s="1"/>
  <c r="BX17" i="3"/>
  <c r="AS17" i="3" s="1"/>
  <c r="BU17" i="3" s="1"/>
  <c r="BX16" i="3"/>
  <c r="AS16" i="3" s="1"/>
  <c r="AJ33" i="3"/>
  <c r="BY53" i="3"/>
  <c r="BY54" i="3"/>
  <c r="BY55" i="3"/>
  <c r="BY56" i="3"/>
  <c r="BY57" i="3"/>
  <c r="BY58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X56" i="3"/>
  <c r="BX57" i="3"/>
  <c r="BX58" i="3"/>
  <c r="BR57" i="3"/>
  <c r="BR56" i="3"/>
  <c r="BR55" i="3"/>
  <c r="BR54" i="3"/>
  <c r="BR53" i="3"/>
  <c r="BR52" i="3"/>
  <c r="BR51" i="3"/>
  <c r="BW42" i="3"/>
  <c r="BR44" i="3"/>
  <c r="BR45" i="3"/>
  <c r="BR46" i="3"/>
  <c r="BR47" i="3"/>
  <c r="BR48" i="3"/>
  <c r="BR49" i="3"/>
  <c r="BR50" i="3"/>
  <c r="BR58" i="3"/>
  <c r="BY52" i="3"/>
  <c r="BR43" i="3"/>
  <c r="BW43" i="3" l="1"/>
  <c r="CB43" i="3"/>
  <c r="BV19" i="3"/>
  <c r="BW19" i="3"/>
  <c r="BW17" i="3"/>
  <c r="BW21" i="3"/>
  <c r="BW23" i="3"/>
  <c r="BW25" i="3"/>
  <c r="BW27" i="3"/>
  <c r="BW29" i="3"/>
  <c r="BW31" i="3"/>
  <c r="CA58" i="3"/>
  <c r="CB58" i="3"/>
  <c r="CC58" i="3"/>
  <c r="CA57" i="3"/>
  <c r="CB57" i="3"/>
  <c r="CC57" i="3"/>
  <c r="CA56" i="3"/>
  <c r="CB56" i="3"/>
  <c r="CC56" i="3"/>
  <c r="CA55" i="3"/>
  <c r="CB55" i="3"/>
  <c r="CC55" i="3"/>
  <c r="CA54" i="3"/>
  <c r="CB54" i="3"/>
  <c r="CC54" i="3"/>
  <c r="CA53" i="3"/>
  <c r="CB53" i="3"/>
  <c r="CC53" i="3"/>
  <c r="CA52" i="3"/>
  <c r="CB52" i="3"/>
  <c r="CC52" i="3"/>
  <c r="CA51" i="3"/>
  <c r="CB51" i="3"/>
  <c r="CC51" i="3"/>
  <c r="CA50" i="3"/>
  <c r="CB50" i="3"/>
  <c r="CC50" i="3"/>
  <c r="CA49" i="3"/>
  <c r="CB49" i="3"/>
  <c r="CC49" i="3"/>
  <c r="CA48" i="3"/>
  <c r="CB48" i="3"/>
  <c r="CC48" i="3"/>
  <c r="CA47" i="3"/>
  <c r="CB47" i="3"/>
  <c r="CC47" i="3"/>
  <c r="CA46" i="3"/>
  <c r="CB46" i="3"/>
  <c r="CC46" i="3"/>
  <c r="CA45" i="3"/>
  <c r="CB45" i="3"/>
  <c r="CC45" i="3"/>
  <c r="CA44" i="3"/>
  <c r="CB44" i="3"/>
  <c r="CC44" i="3"/>
  <c r="BV17" i="3"/>
  <c r="AY17" i="3" s="1"/>
  <c r="BV21" i="3"/>
  <c r="AY21" i="3" s="1"/>
  <c r="BV23" i="3"/>
  <c r="AY23" i="3" s="1"/>
  <c r="BV25" i="3"/>
  <c r="AY25" i="3" s="1"/>
  <c r="BV27" i="3"/>
  <c r="AY27" i="3" s="1"/>
  <c r="CB27" i="3" s="1"/>
  <c r="BV29" i="3"/>
  <c r="AY29" i="3" s="1"/>
  <c r="CB29" i="3" s="1"/>
  <c r="BV31" i="3"/>
  <c r="AY31" i="3" s="1"/>
  <c r="CB31" i="3" s="1"/>
  <c r="BU30" i="3"/>
  <c r="BU28" i="3"/>
  <c r="BU26" i="3"/>
  <c r="BU22" i="3"/>
  <c r="BU20" i="3"/>
  <c r="BU18" i="3"/>
  <c r="BU16" i="3"/>
  <c r="BU24" i="3"/>
  <c r="BZ58" i="3"/>
  <c r="BZ57" i="3"/>
  <c r="BZ56" i="3"/>
  <c r="BZ55" i="3"/>
  <c r="BZ54" i="3"/>
  <c r="BZ53" i="3"/>
  <c r="BZ52" i="3"/>
  <c r="BZ51" i="3"/>
  <c r="BZ50" i="3"/>
  <c r="BZ49" i="3"/>
  <c r="BZ48" i="3"/>
  <c r="BZ47" i="3"/>
  <c r="BZ46" i="3"/>
  <c r="BZ45" i="3"/>
  <c r="BZ44" i="3"/>
  <c r="BW58" i="3"/>
  <c r="CD58" i="3" s="1"/>
  <c r="BW57" i="3"/>
  <c r="CD57" i="3" s="1"/>
  <c r="BW56" i="3"/>
  <c r="CD56" i="3" s="1"/>
  <c r="BW55" i="3"/>
  <c r="CD55" i="3" s="1"/>
  <c r="BW54" i="3"/>
  <c r="CD54" i="3" s="1"/>
  <c r="BW53" i="3"/>
  <c r="CD53" i="3" s="1"/>
  <c r="BY43" i="3"/>
  <c r="BY51" i="3"/>
  <c r="BY50" i="3"/>
  <c r="BY49" i="3"/>
  <c r="BY48" i="3"/>
  <c r="BY47" i="3"/>
  <c r="BY46" i="3"/>
  <c r="BY45" i="3"/>
  <c r="BY44" i="3"/>
  <c r="AY19" i="3" l="1"/>
  <c r="CB25" i="3"/>
  <c r="BW30" i="3"/>
  <c r="BV30" i="3"/>
  <c r="BW28" i="3"/>
  <c r="BV28" i="3"/>
  <c r="BW26" i="3"/>
  <c r="BV26" i="3"/>
  <c r="BW24" i="3"/>
  <c r="BV24" i="3"/>
  <c r="BW22" i="3"/>
  <c r="BV22" i="3"/>
  <c r="BW18" i="3"/>
  <c r="BV18" i="3"/>
  <c r="BW16" i="3"/>
  <c r="BV16" i="3"/>
  <c r="BW20" i="3"/>
  <c r="BV20" i="3"/>
  <c r="BS31" i="3"/>
  <c r="BS29" i="3"/>
  <c r="BS27" i="3"/>
  <c r="AY16" i="3" l="1"/>
  <c r="AY26" i="3"/>
  <c r="CB26" i="3" s="1"/>
  <c r="AY20" i="3"/>
  <c r="AY24" i="3"/>
  <c r="AY28" i="3"/>
  <c r="CB28" i="3" s="1"/>
  <c r="AY18" i="3"/>
  <c r="AY22" i="3"/>
  <c r="AY30" i="3"/>
  <c r="CB30" i="3" s="1"/>
  <c r="BS28" i="3"/>
  <c r="BS26" i="3"/>
  <c r="BT31" i="3"/>
  <c r="BZ27" i="3"/>
  <c r="BZ29" i="3"/>
  <c r="BY27" i="3"/>
  <c r="BY29" i="3"/>
  <c r="BT27" i="3"/>
  <c r="BT29" i="3"/>
  <c r="BS25" i="3"/>
  <c r="BB25" i="3" s="1"/>
  <c r="BW44" i="3"/>
  <c r="BS30" i="3" l="1"/>
  <c r="BT30" i="3" s="1"/>
  <c r="BT26" i="3"/>
  <c r="BT28" i="3"/>
  <c r="BZ28" i="3"/>
  <c r="BY31" i="3"/>
  <c r="BZ31" i="3"/>
  <c r="BZ30" i="3"/>
  <c r="BZ26" i="3"/>
  <c r="BY28" i="3"/>
  <c r="BY30" i="3"/>
  <c r="BY26" i="3"/>
  <c r="BT25" i="3"/>
  <c r="BW45" i="3"/>
  <c r="BZ25" i="3" l="1"/>
  <c r="BY25" i="3"/>
  <c r="BW46" i="3" l="1"/>
  <c r="CB24" i="3" l="1"/>
  <c r="BS24" i="3"/>
  <c r="BW47" i="3"/>
  <c r="BT24" i="3" l="1"/>
  <c r="BB24" i="3"/>
  <c r="BW48" i="3"/>
  <c r="BY24" i="3" l="1"/>
  <c r="BZ24" i="3"/>
  <c r="BW49" i="3"/>
  <c r="BW50" i="3" l="1"/>
  <c r="BW51" i="3" l="1"/>
  <c r="BW52" i="3" l="1"/>
  <c r="CD51" i="3" l="1"/>
  <c r="CD50" i="3"/>
  <c r="CD45" i="3"/>
  <c r="CD49" i="3"/>
  <c r="CD48" i="3"/>
  <c r="CD47" i="3"/>
  <c r="CD52" i="3"/>
  <c r="CD46" i="3"/>
  <c r="AS33" i="3"/>
  <c r="CD44" i="3"/>
  <c r="CD43" i="3"/>
  <c r="CG62" i="3"/>
  <c r="CG61" i="3" s="1"/>
  <c r="CG60" i="3" s="1"/>
  <c r="CG59" i="3" s="1"/>
  <c r="CG54" i="3" s="1"/>
  <c r="CG53" i="3" s="1"/>
  <c r="CH62" i="3"/>
  <c r="CH61" i="3" s="1"/>
  <c r="CH60" i="3" s="1"/>
  <c r="CH59" i="3" s="1"/>
  <c r="CH54" i="3" s="1"/>
  <c r="CH53" i="3" s="1"/>
  <c r="CI62" i="3"/>
  <c r="CI61" i="3" s="1"/>
  <c r="CI60" i="3" s="1"/>
  <c r="CI59" i="3" s="1"/>
  <c r="CI54" i="3" s="1"/>
  <c r="CI53" i="3" s="1"/>
  <c r="CJ62" i="3"/>
  <c r="CJ61" i="3" s="1"/>
  <c r="CJ60" i="3" s="1"/>
  <c r="CJ59" i="3" s="1"/>
  <c r="CJ54" i="3" s="1"/>
  <c r="CJ53" i="3" s="1"/>
  <c r="CJ52" i="3" s="1"/>
  <c r="CF62" i="3"/>
  <c r="CF61" i="3" s="1"/>
  <c r="CF60" i="3" s="1"/>
  <c r="CF59" i="3" s="1"/>
  <c r="CF54" i="3" s="1"/>
  <c r="CF53" i="3" s="1"/>
  <c r="CH52" i="3" l="1"/>
  <c r="CH51" i="3" s="1"/>
  <c r="CH50" i="3" s="1"/>
  <c r="CH49" i="3" s="1"/>
  <c r="CH48" i="3" s="1"/>
  <c r="CH47" i="3" s="1"/>
  <c r="CH46" i="3" s="1"/>
  <c r="CH45" i="3" s="1"/>
  <c r="CH44" i="3" s="1"/>
  <c r="CI52" i="3"/>
  <c r="CI51" i="3" s="1"/>
  <c r="CI50" i="3" s="1"/>
  <c r="CI49" i="3" s="1"/>
  <c r="CI48" i="3" s="1"/>
  <c r="CI47" i="3" s="1"/>
  <c r="CI46" i="3" s="1"/>
  <c r="CI45" i="3" s="1"/>
  <c r="CI44" i="3" s="1"/>
  <c r="CI43" i="3" s="1"/>
  <c r="CI42" i="3" s="1"/>
  <c r="CF52" i="3"/>
  <c r="CF51" i="3" s="1"/>
  <c r="CF50" i="3" s="1"/>
  <c r="CF49" i="3" s="1"/>
  <c r="CF48" i="3" s="1"/>
  <c r="CF47" i="3" s="1"/>
  <c r="CF46" i="3" s="1"/>
  <c r="CF45" i="3" s="1"/>
  <c r="CF44" i="3" s="1"/>
  <c r="CF43" i="3" s="1"/>
  <c r="CF42" i="3" s="1"/>
  <c r="CG52" i="3"/>
  <c r="CG51" i="3" s="1"/>
  <c r="CG50" i="3" s="1"/>
  <c r="CG49" i="3" s="1"/>
  <c r="CG48" i="3" s="1"/>
  <c r="CG47" i="3" s="1"/>
  <c r="CG46" i="3" s="1"/>
  <c r="CG45" i="3" s="1"/>
  <c r="CG44" i="3" s="1"/>
  <c r="CG43" i="3" s="1"/>
  <c r="CG42" i="3" s="1"/>
  <c r="CJ51" i="3"/>
  <c r="CJ50" i="3" s="1"/>
  <c r="CJ49" i="3" s="1"/>
  <c r="CJ48" i="3" s="1"/>
  <c r="CJ47" i="3" s="1"/>
  <c r="CJ46" i="3" s="1"/>
  <c r="CJ45" i="3" s="1"/>
  <c r="CJ44" i="3" s="1"/>
  <c r="CJ43" i="3" s="1"/>
  <c r="CJ42" i="3" s="1"/>
  <c r="CH43" i="3"/>
  <c r="CH42" i="3" s="1"/>
  <c r="CF39" i="3" l="1"/>
  <c r="R97" i="3" s="1"/>
  <c r="BB23" i="3"/>
  <c r="BY23" i="3" s="1"/>
  <c r="BS23" i="3"/>
  <c r="BT23" i="3" s="1"/>
  <c r="CB23" i="3"/>
  <c r="CB20" i="3"/>
  <c r="BS20" i="3"/>
  <c r="BT20" i="3" s="1"/>
  <c r="CB18" i="3"/>
  <c r="CB22" i="3"/>
  <c r="CB19" i="3"/>
  <c r="CB21" i="3"/>
  <c r="BS19" i="3"/>
  <c r="BT19" i="3" s="1"/>
  <c r="BS21" i="3"/>
  <c r="BT21" i="3" s="1"/>
  <c r="BS18" i="3"/>
  <c r="BT18" i="3" s="1"/>
  <c r="BS22" i="3"/>
  <c r="BT22" i="3" s="1"/>
  <c r="BB19" i="3" l="1"/>
  <c r="BZ19" i="3" s="1"/>
  <c r="BB20" i="3"/>
  <c r="BZ20" i="3" s="1"/>
  <c r="BB18" i="3"/>
  <c r="BZ18" i="3" s="1"/>
  <c r="BZ23" i="3"/>
  <c r="BB22" i="3"/>
  <c r="BB21" i="3"/>
  <c r="BY19" i="3" l="1"/>
  <c r="BY20" i="3"/>
  <c r="BY18" i="3"/>
  <c r="BZ21" i="3"/>
  <c r="BY21" i="3"/>
  <c r="BZ22" i="3"/>
  <c r="BY22" i="3"/>
  <c r="CB16" i="3"/>
  <c r="BS16" i="3"/>
  <c r="BT16" i="3" s="1"/>
  <c r="BB16" i="3" l="1"/>
  <c r="BY16" i="3" s="1"/>
  <c r="CB17" i="3"/>
  <c r="AY33" i="3" s="1"/>
  <c r="BJ33" i="3" s="1"/>
  <c r="BS17" i="3"/>
  <c r="BB17" i="3" s="1"/>
  <c r="BZ16" i="3" l="1"/>
  <c r="BZ17" i="3"/>
  <c r="BY17" i="3"/>
  <c r="BT17" i="3"/>
</calcChain>
</file>

<file path=xl/sharedStrings.xml><?xml version="1.0" encoding="utf-8"?>
<sst xmlns="http://schemas.openxmlformats.org/spreadsheetml/2006/main" count="76" uniqueCount="67">
  <si>
    <t>MENOR</t>
  </si>
  <si>
    <t>DESCRIÇÃO</t>
  </si>
  <si>
    <t>VALOR</t>
  </si>
  <si>
    <t>-</t>
  </si>
  <si>
    <t>INÍCIO DO ANO LETIVO</t>
  </si>
  <si>
    <t xml:space="preserve"> CARGA HORÁRIA</t>
  </si>
  <si>
    <t xml:space="preserve"> QTD. FALTAS</t>
  </si>
  <si>
    <t>UNIDADE 1</t>
  </si>
  <si>
    <t>UNIDADE 2</t>
  </si>
  <si>
    <t>UNIDADE 3</t>
  </si>
  <si>
    <t>UNIDADE 4</t>
  </si>
  <si>
    <t xml:space="preserve"> MÉDIA</t>
  </si>
  <si>
    <t xml:space="preserve"> AVALIAÇÃO FINAL</t>
  </si>
  <si>
    <t xml:space="preserve"> MÉDIA FINAL</t>
  </si>
  <si>
    <t>DISCIPLINAS</t>
  </si>
  <si>
    <t>CH</t>
  </si>
  <si>
    <t>QF</t>
  </si>
  <si>
    <t>UN1</t>
  </si>
  <si>
    <t>UN2</t>
  </si>
  <si>
    <t>UN3</t>
  </si>
  <si>
    <t>UN4</t>
  </si>
  <si>
    <t>MD</t>
  </si>
  <si>
    <t>AF</t>
  </si>
  <si>
    <t>MF</t>
  </si>
  <si>
    <t>SITUAÇÃO</t>
  </si>
  <si>
    <t>TOTAL / MÉDIA GERAL</t>
  </si>
  <si>
    <t xml:space="preserve"> % DE FREQUÊNCIA</t>
  </si>
  <si>
    <t>%FREQ</t>
  </si>
  <si>
    <t>SELECIONE O INTERVALO A EXIBIR</t>
  </si>
  <si>
    <t>META</t>
  </si>
  <si>
    <t>TODAS AS UNIDADES</t>
  </si>
  <si>
    <t>M1</t>
  </si>
  <si>
    <t>M2</t>
  </si>
  <si>
    <t>M3</t>
  </si>
  <si>
    <t>M4</t>
  </si>
  <si>
    <t>TOP</t>
  </si>
  <si>
    <t>FREQ</t>
  </si>
  <si>
    <t>META ANUAL</t>
  </si>
  <si>
    <t>MÉDIA ATUAL</t>
  </si>
  <si>
    <t>FREQUÊNCIA (%)</t>
  </si>
  <si>
    <t>MELHORES DESEMPENHOS</t>
  </si>
  <si>
    <t>GRÁFICO DE ACOMPANHAMENTO ANUAL DE METAS, DESEMPENHO E FREQUÊNCIA</t>
  </si>
  <si>
    <t>DESEMPENHO</t>
  </si>
  <si>
    <t>REPROVADO POR MÉDIA</t>
  </si>
  <si>
    <t>REPROVADO POR FALTA</t>
  </si>
  <si>
    <t>APROVADO POR MÉDIA</t>
  </si>
  <si>
    <t>APROVADO</t>
  </si>
  <si>
    <t>REPROVADO</t>
  </si>
  <si>
    <t>REPROVADO?</t>
  </si>
  <si>
    <t>INSTITUIÇÃO DE ENSINO</t>
  </si>
  <si>
    <t>NOME DO ALUNO(A)</t>
  </si>
  <si>
    <t>CONFIGURAÇÕES DA PLANILHA</t>
  </si>
  <si>
    <t>BOLETIM ESCOLAR E ACADÊMICO</t>
  </si>
  <si>
    <t>MF &lt;&gt; "-"</t>
  </si>
  <si>
    <t>MD &lt;&gt; "-"</t>
  </si>
  <si>
    <t>UNIDADES PREENCHIDAS?</t>
  </si>
  <si>
    <t>FALTA?</t>
  </si>
  <si>
    <t>SÉRIE/ANO</t>
  </si>
  <si>
    <t>MAIOR OU IGUAL</t>
  </si>
  <si>
    <t>Média mínima para aprovação por média
(padrão: 7,0)</t>
  </si>
  <si>
    <t>Média mínima para realizar prova final
(padrão: 4,0)</t>
  </si>
  <si>
    <t>Média mínima para aprovação após avaliação final/recuperação
(padrão: 5,0)</t>
  </si>
  <si>
    <t>Percentual máximo de faltas permitidas em uma disciplina
(padrão: 25%)</t>
  </si>
  <si>
    <t>Sensibilidade de casas decimais no arredondamento de médias
(padrão: 1)</t>
  </si>
  <si>
    <t>Unidades de avaliação
(padrão: 2 ou 4)</t>
  </si>
  <si>
    <t>APROVEITAMENTO</t>
  </si>
  <si>
    <t>PLANILHA DE ACOMPANHAMENTO DO BOLETIM ESCOLAR E DESEMPENHO ACADÊMICO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</si>
</sst>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[$R$-416]\ #,##0.00;[Red]\-[$R$-416]\ #,##0.00"/>
    <numFmt numFmtId="167" formatCode="00"/>
    <numFmt numFmtId="168" formatCode="0.0%"/>
    <numFmt numFmtId="169" formatCode="&quot;MD&gt;=&quot;0"/>
    <numFmt numFmtId="170" formatCode="&quot;%FREQ&lt;&quot;0%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i/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52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9900CC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55"/>
      <name val="Calibri"/>
      <family val="2"/>
      <scheme val="minor"/>
    </font>
    <font>
      <sz val="16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47"/>
      </patternFill>
    </fill>
    <fill>
      <patternFill patternType="solid">
        <fgColor indexed="13"/>
        <bgColor indexed="51"/>
      </patternFill>
    </fill>
    <fill>
      <patternFill patternType="solid">
        <fgColor indexed="9"/>
        <bgColor indexed="43"/>
      </patternFill>
    </fill>
    <fill>
      <patternFill patternType="solid">
        <fgColor indexed="41"/>
        <bgColor indexed="27"/>
      </patternFill>
    </fill>
    <fill>
      <patternFill patternType="solid">
        <fgColor indexed="5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51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0070C0"/>
        <bgColor indexed="51"/>
      </patternFill>
    </fill>
    <fill>
      <patternFill patternType="solid">
        <fgColor theme="0"/>
        <bgColor indexed="47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51"/>
      </patternFill>
    </fill>
    <fill>
      <patternFill patternType="solid">
        <fgColor rgb="FFC00000"/>
        <bgColor indexed="29"/>
      </patternFill>
    </fill>
    <fill>
      <patternFill patternType="solid">
        <fgColor rgb="FFFF0000"/>
        <bgColor indexed="51"/>
      </patternFill>
    </fill>
    <fill>
      <patternFill patternType="solid">
        <fgColor theme="3" tint="0.79998168889431442"/>
        <bgColor indexed="29"/>
      </patternFill>
    </fill>
    <fill>
      <patternFill patternType="solid">
        <fgColor theme="3" tint="0.39997558519241921"/>
        <bgColor indexed="51"/>
      </patternFill>
    </fill>
    <fill>
      <patternFill patternType="solid">
        <fgColor theme="5" tint="0.79998168889431442"/>
        <bgColor indexed="29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29"/>
      </patternFill>
    </fill>
    <fill>
      <patternFill patternType="solid">
        <fgColor theme="6"/>
        <bgColor indexed="51"/>
      </patternFill>
    </fill>
    <fill>
      <patternFill patternType="solid">
        <fgColor theme="7" tint="0.59999389629810485"/>
        <bgColor indexed="29"/>
      </patternFill>
    </fill>
    <fill>
      <patternFill patternType="solid">
        <fgColor theme="7"/>
        <bgColor indexed="51"/>
      </patternFill>
    </fill>
    <fill>
      <patternFill patternType="solid">
        <fgColor theme="3"/>
        <bgColor indexed="29"/>
      </patternFill>
    </fill>
    <fill>
      <patternFill patternType="solid">
        <fgColor rgb="FFFFFF00"/>
        <bgColor indexed="52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0"/>
        <bgColor indexed="43"/>
      </patternFill>
    </fill>
  </fills>
  <borders count="29">
    <border>
      <left/>
      <right/>
      <top/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theme="1" tint="0.499984740745262"/>
      </bottom>
      <diagonal/>
    </border>
  </borders>
  <cellStyleXfs count="5">
    <xf numFmtId="0" fontId="0" fillId="0" borderId="0"/>
    <xf numFmtId="9" fontId="1" fillId="0" borderId="0" applyFill="0" applyBorder="0" applyAlignment="0" applyProtection="0"/>
    <xf numFmtId="0" fontId="2" fillId="2" borderId="0" applyNumberFormat="0" applyBorder="0">
      <alignment horizontal="center" vertical="center"/>
      <protection hidden="1"/>
    </xf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0" xfId="0" applyFont="1"/>
    <xf numFmtId="0" fontId="4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7" borderId="0" xfId="0" applyFont="1" applyFill="1" applyProtection="1">
      <protection hidden="1"/>
    </xf>
    <xf numFmtId="0" fontId="4" fillId="0" borderId="0" xfId="0" applyFont="1" applyAlignment="1" applyProtection="1">
      <protection hidden="1"/>
    </xf>
    <xf numFmtId="0" fontId="10" fillId="0" borderId="0" xfId="0" applyFont="1" applyAlignment="1" applyProtection="1">
      <protection hidden="1"/>
    </xf>
    <xf numFmtId="0" fontId="10" fillId="7" borderId="0" xfId="0" applyFont="1" applyFill="1" applyProtection="1">
      <protection hidden="1"/>
    </xf>
    <xf numFmtId="0" fontId="10" fillId="18" borderId="0" xfId="0" applyFont="1" applyFill="1" applyProtection="1">
      <protection hidden="1"/>
    </xf>
    <xf numFmtId="0" fontId="4" fillId="18" borderId="0" xfId="0" applyFont="1" applyFill="1" applyProtection="1">
      <protection hidden="1"/>
    </xf>
    <xf numFmtId="0" fontId="10" fillId="31" borderId="0" xfId="0" applyFont="1" applyFill="1" applyProtection="1">
      <protection hidden="1"/>
    </xf>
    <xf numFmtId="0" fontId="9" fillId="18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31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protection hidden="1"/>
    </xf>
    <xf numFmtId="0" fontId="4" fillId="18" borderId="0" xfId="0" applyFont="1" applyFill="1" applyAlignment="1" applyProtection="1">
      <protection hidden="1"/>
    </xf>
    <xf numFmtId="0" fontId="8" fillId="17" borderId="21" xfId="0" applyFont="1" applyFill="1" applyBorder="1" applyAlignment="1" applyProtection="1">
      <alignment vertical="center"/>
      <protection hidden="1"/>
    </xf>
    <xf numFmtId="0" fontId="9" fillId="8" borderId="23" xfId="0" applyFont="1" applyFill="1" applyBorder="1" applyProtection="1">
      <protection hidden="1"/>
    </xf>
    <xf numFmtId="0" fontId="4" fillId="7" borderId="0" xfId="0" applyFont="1" applyFill="1" applyAlignment="1" applyProtection="1">
      <protection hidden="1"/>
    </xf>
    <xf numFmtId="0" fontId="9" fillId="7" borderId="0" xfId="0" applyFont="1" applyFill="1" applyAlignment="1" applyProtection="1">
      <alignment vertical="center"/>
      <protection hidden="1"/>
    </xf>
    <xf numFmtId="0" fontId="4" fillId="7" borderId="0" xfId="0" applyFont="1" applyFill="1"/>
    <xf numFmtId="0" fontId="4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Protection="1">
      <protection hidden="1"/>
    </xf>
    <xf numFmtId="0" fontId="4" fillId="32" borderId="0" xfId="0" applyFont="1" applyFill="1" applyAlignment="1" applyProtection="1"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4" fillId="32" borderId="19" xfId="0" applyFont="1" applyFill="1" applyBorder="1" applyAlignment="1" applyProtection="1">
      <protection hidden="1"/>
    </xf>
    <xf numFmtId="0" fontId="21" fillId="0" borderId="0" xfId="0" applyFont="1" applyAlignment="1">
      <alignment vertical="center"/>
    </xf>
    <xf numFmtId="0" fontId="21" fillId="7" borderId="0" xfId="0" applyFont="1" applyFill="1" applyAlignment="1">
      <alignment vertical="center"/>
    </xf>
    <xf numFmtId="0" fontId="18" fillId="7" borderId="0" xfId="0" applyFont="1" applyFill="1" applyAlignment="1">
      <alignment wrapText="1"/>
    </xf>
    <xf numFmtId="0" fontId="18" fillId="2" borderId="21" xfId="0" applyFont="1" applyFill="1" applyBorder="1" applyAlignment="1" applyProtection="1">
      <alignment vertical="center" wrapText="1"/>
      <protection hidden="1"/>
    </xf>
    <xf numFmtId="0" fontId="18" fillId="0" borderId="0" xfId="0" applyFont="1" applyAlignment="1">
      <alignment wrapText="1"/>
    </xf>
    <xf numFmtId="166" fontId="20" fillId="3" borderId="21" xfId="0" applyNumberFormat="1" applyFont="1" applyFill="1" applyBorder="1" applyAlignment="1" applyProtection="1">
      <alignment vertical="center"/>
      <protection hidden="1"/>
    </xf>
    <xf numFmtId="0" fontId="20" fillId="3" borderId="23" xfId="0" applyFont="1" applyFill="1" applyBorder="1" applyAlignment="1" applyProtection="1">
      <alignment horizontal="center" vertical="center"/>
      <protection hidden="1"/>
    </xf>
    <xf numFmtId="0" fontId="20" fillId="3" borderId="22" xfId="0" applyFont="1" applyFill="1" applyBorder="1" applyAlignment="1" applyProtection="1">
      <alignment horizontal="center" vertical="center"/>
      <protection hidden="1"/>
    </xf>
    <xf numFmtId="165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21" xfId="0" applyFont="1" applyFill="1" applyBorder="1" applyAlignment="1" applyProtection="1">
      <alignment horizontal="center" vertical="center" wrapText="1"/>
      <protection hidden="1"/>
    </xf>
    <xf numFmtId="0" fontId="23" fillId="4" borderId="12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Protection="1">
      <protection hidden="1"/>
    </xf>
    <xf numFmtId="0" fontId="4" fillId="7" borderId="0" xfId="0" applyFont="1" applyFill="1" applyBorder="1" applyProtection="1"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10" borderId="0" xfId="0" applyFont="1" applyFill="1" applyProtection="1">
      <protection hidden="1"/>
    </xf>
    <xf numFmtId="0" fontId="4" fillId="11" borderId="0" xfId="0" applyFont="1" applyFill="1" applyProtection="1">
      <protection hidden="1"/>
    </xf>
    <xf numFmtId="165" fontId="4" fillId="10" borderId="0" xfId="0" applyNumberFormat="1" applyFont="1" applyFill="1" applyProtection="1">
      <protection hidden="1"/>
    </xf>
    <xf numFmtId="168" fontId="4" fillId="10" borderId="0" xfId="1" applyNumberFormat="1" applyFont="1" applyFill="1" applyProtection="1">
      <protection hidden="1"/>
    </xf>
    <xf numFmtId="0" fontId="6" fillId="32" borderId="0" xfId="0" applyFont="1" applyFill="1" applyBorder="1" applyProtection="1">
      <protection hidden="1"/>
    </xf>
    <xf numFmtId="0" fontId="4" fillId="33" borderId="0" xfId="0" applyFont="1" applyFill="1" applyBorder="1" applyProtection="1">
      <protection hidden="1"/>
    </xf>
    <xf numFmtId="0" fontId="6" fillId="33" borderId="0" xfId="0" applyFont="1" applyFill="1" applyBorder="1" applyProtection="1">
      <protection hidden="1"/>
    </xf>
    <xf numFmtId="169" fontId="9" fillId="31" borderId="0" xfId="0" applyNumberFormat="1" applyFont="1" applyFill="1" applyAlignment="1" applyProtection="1">
      <alignment vertical="center"/>
      <protection hidden="1"/>
    </xf>
    <xf numFmtId="170" fontId="9" fillId="31" borderId="0" xfId="0" applyNumberFormat="1" applyFont="1" applyFill="1" applyAlignment="1" applyProtection="1">
      <alignment vertical="center"/>
      <protection hidden="1"/>
    </xf>
    <xf numFmtId="0" fontId="17" fillId="9" borderId="0" xfId="0" applyFont="1" applyFill="1" applyAlignment="1">
      <alignment horizontal="center" vertical="center"/>
    </xf>
    <xf numFmtId="0" fontId="23" fillId="34" borderId="13" xfId="0" applyFont="1" applyFill="1" applyBorder="1" applyAlignment="1" applyProtection="1">
      <alignment horizontal="center" vertical="center" wrapText="1"/>
      <protection hidden="1"/>
    </xf>
    <xf numFmtId="0" fontId="23" fillId="34" borderId="14" xfId="0" applyFont="1" applyFill="1" applyBorder="1" applyAlignment="1" applyProtection="1">
      <alignment horizontal="center" vertical="center" wrapText="1"/>
      <protection hidden="1"/>
    </xf>
    <xf numFmtId="0" fontId="23" fillId="34" borderId="16" xfId="0" applyFont="1" applyFill="1" applyBorder="1" applyAlignment="1" applyProtection="1">
      <alignment horizontal="center" vertical="center" wrapText="1"/>
      <protection hidden="1"/>
    </xf>
    <xf numFmtId="0" fontId="23" fillId="34" borderId="0" xfId="0" applyFont="1" applyFill="1" applyBorder="1" applyAlignment="1" applyProtection="1">
      <alignment horizontal="center" vertical="center" wrapText="1"/>
      <protection hidden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 applyProtection="1">
      <alignment horizontal="center"/>
      <protection hidden="1"/>
    </xf>
    <xf numFmtId="0" fontId="4" fillId="7" borderId="10" xfId="0" applyFont="1" applyFill="1" applyBorder="1" applyAlignment="1" applyProtection="1">
      <alignment horizontal="center"/>
      <protection hidden="1"/>
    </xf>
    <xf numFmtId="0" fontId="3" fillId="7" borderId="9" xfId="3" applyFill="1" applyBorder="1" applyAlignment="1" applyProtection="1">
      <alignment horizontal="center"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0" fontId="13" fillId="7" borderId="9" xfId="0" applyFont="1" applyFill="1" applyBorder="1" applyAlignment="1" applyProtection="1">
      <alignment horizontal="center" vertical="center"/>
      <protection hidden="1"/>
    </xf>
    <xf numFmtId="0" fontId="13" fillId="7" borderId="11" xfId="0" applyFont="1" applyFill="1" applyBorder="1" applyAlignment="1" applyProtection="1">
      <alignment horizontal="center" vertical="center"/>
      <protection hidden="1"/>
    </xf>
    <xf numFmtId="14" fontId="18" fillId="7" borderId="13" xfId="0" applyNumberFormat="1" applyFont="1" applyFill="1" applyBorder="1" applyAlignment="1" applyProtection="1">
      <alignment horizontal="center" vertical="center"/>
      <protection locked="0"/>
    </xf>
    <xf numFmtId="0" fontId="18" fillId="7" borderId="14" xfId="0" applyFont="1" applyFill="1" applyBorder="1" applyAlignment="1" applyProtection="1">
      <alignment horizontal="center" vertical="center"/>
      <protection locked="0"/>
    </xf>
    <xf numFmtId="0" fontId="18" fillId="7" borderId="15" xfId="0" applyFont="1" applyFill="1" applyBorder="1" applyAlignment="1" applyProtection="1">
      <alignment horizontal="center" vertical="center"/>
      <protection locked="0"/>
    </xf>
    <xf numFmtId="0" fontId="18" fillId="7" borderId="18" xfId="0" applyFont="1" applyFill="1" applyBorder="1" applyAlignment="1" applyProtection="1">
      <alignment horizontal="center" vertical="center"/>
      <protection locked="0"/>
    </xf>
    <xf numFmtId="0" fontId="18" fillId="7" borderId="19" xfId="0" applyFont="1" applyFill="1" applyBorder="1" applyAlignment="1" applyProtection="1">
      <alignment horizontal="center" vertical="center"/>
      <protection locked="0"/>
    </xf>
    <xf numFmtId="0" fontId="18" fillId="7" borderId="20" xfId="0" applyFont="1" applyFill="1" applyBorder="1" applyAlignment="1" applyProtection="1">
      <alignment horizontal="center" vertical="center"/>
      <protection locked="0"/>
    </xf>
    <xf numFmtId="0" fontId="19" fillId="8" borderId="13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9" fillId="8" borderId="15" xfId="0" applyFont="1" applyFill="1" applyBorder="1" applyAlignment="1" applyProtection="1">
      <alignment horizontal="center" vertical="center"/>
      <protection hidden="1"/>
    </xf>
    <xf numFmtId="0" fontId="19" fillId="8" borderId="18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9" fillId="8" borderId="20" xfId="0" applyFont="1" applyFill="1" applyBorder="1" applyAlignment="1" applyProtection="1">
      <alignment horizontal="center" vertical="center"/>
      <protection hidden="1"/>
    </xf>
    <xf numFmtId="0" fontId="18" fillId="7" borderId="13" xfId="0" applyFont="1" applyFill="1" applyBorder="1" applyAlignment="1" applyProtection="1">
      <alignment horizontal="center" vertical="center"/>
      <protection locked="0"/>
    </xf>
    <xf numFmtId="0" fontId="18" fillId="7" borderId="13" xfId="0" applyFont="1" applyFill="1" applyBorder="1" applyAlignment="1" applyProtection="1">
      <alignment horizontal="left" vertical="center"/>
      <protection locked="0"/>
    </xf>
    <xf numFmtId="0" fontId="18" fillId="7" borderId="14" xfId="0" applyFont="1" applyFill="1" applyBorder="1" applyAlignment="1" applyProtection="1">
      <alignment horizontal="left" vertical="center"/>
      <protection locked="0"/>
    </xf>
    <xf numFmtId="0" fontId="18" fillId="7" borderId="15" xfId="0" applyFont="1" applyFill="1" applyBorder="1" applyAlignment="1" applyProtection="1">
      <alignment horizontal="left" vertical="center"/>
      <protection locked="0"/>
    </xf>
    <xf numFmtId="0" fontId="18" fillId="7" borderId="18" xfId="0" applyFont="1" applyFill="1" applyBorder="1" applyAlignment="1" applyProtection="1">
      <alignment horizontal="left" vertical="center"/>
      <protection locked="0"/>
    </xf>
    <xf numFmtId="0" fontId="18" fillId="7" borderId="19" xfId="0" applyFont="1" applyFill="1" applyBorder="1" applyAlignment="1" applyProtection="1">
      <alignment horizontal="left" vertical="center"/>
      <protection locked="0"/>
    </xf>
    <xf numFmtId="0" fontId="18" fillId="7" borderId="20" xfId="0" applyFont="1" applyFill="1" applyBorder="1" applyAlignment="1" applyProtection="1">
      <alignment horizontal="left" vertical="center"/>
      <protection locked="0"/>
    </xf>
    <xf numFmtId="0" fontId="9" fillId="16" borderId="26" xfId="0" applyFont="1" applyFill="1" applyBorder="1" applyAlignment="1" applyProtection="1">
      <alignment horizontal="center" vertical="center" wrapText="1"/>
      <protection hidden="1"/>
    </xf>
    <xf numFmtId="0" fontId="9" fillId="16" borderId="23" xfId="0" applyFont="1" applyFill="1" applyBorder="1" applyAlignment="1" applyProtection="1">
      <alignment horizontal="center" vertical="center" wrapText="1"/>
      <protection hidden="1"/>
    </xf>
    <xf numFmtId="0" fontId="9" fillId="16" borderId="22" xfId="0" applyFont="1" applyFill="1" applyBorder="1" applyAlignment="1" applyProtection="1">
      <alignment horizontal="center" vertical="center" wrapText="1"/>
      <protection hidden="1"/>
    </xf>
    <xf numFmtId="165" fontId="9" fillId="7" borderId="23" xfId="4" applyNumberFormat="1" applyFont="1" applyFill="1" applyBorder="1" applyAlignment="1" applyProtection="1">
      <alignment horizontal="center" vertical="center"/>
      <protection locked="0"/>
    </xf>
    <xf numFmtId="165" fontId="9" fillId="7" borderId="27" xfId="4" applyNumberFormat="1" applyFont="1" applyFill="1" applyBorder="1" applyAlignment="1" applyProtection="1">
      <alignment horizontal="center" vertical="center"/>
      <protection locked="0"/>
    </xf>
    <xf numFmtId="165" fontId="9" fillId="8" borderId="26" xfId="4" applyNumberFormat="1" applyFont="1" applyFill="1" applyBorder="1" applyAlignment="1" applyProtection="1">
      <alignment horizontal="center" vertical="center"/>
      <protection hidden="1"/>
    </xf>
    <xf numFmtId="165" fontId="9" fillId="8" borderId="23" xfId="4" applyNumberFormat="1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32" borderId="19" xfId="0" applyFont="1" applyFill="1" applyBorder="1" applyAlignment="1" applyProtection="1">
      <alignment horizontal="center" textRotation="90"/>
      <protection hidden="1"/>
    </xf>
    <xf numFmtId="0" fontId="14" fillId="32" borderId="19" xfId="0" applyFont="1" applyFill="1" applyBorder="1" applyAlignment="1" applyProtection="1">
      <alignment horizontal="center" textRotation="90"/>
      <protection hidden="1"/>
    </xf>
    <xf numFmtId="0" fontId="15" fillId="32" borderId="19" xfId="0" applyFont="1" applyFill="1" applyBorder="1" applyAlignment="1" applyProtection="1">
      <alignment horizontal="center" textRotation="90"/>
      <protection hidden="1"/>
    </xf>
    <xf numFmtId="0" fontId="7" fillId="9" borderId="2" xfId="0" applyFont="1" applyFill="1" applyBorder="1" applyAlignment="1" applyProtection="1">
      <alignment horizontal="center" vertical="center" wrapText="1"/>
      <protection hidden="1"/>
    </xf>
    <xf numFmtId="0" fontId="7" fillId="9" borderId="1" xfId="0" applyFont="1" applyFill="1" applyBorder="1" applyAlignment="1" applyProtection="1">
      <alignment horizontal="center" vertical="center" wrapText="1"/>
      <protection hidden="1"/>
    </xf>
    <xf numFmtId="0" fontId="7" fillId="9" borderId="3" xfId="0" applyFont="1" applyFill="1" applyBorder="1" applyAlignment="1" applyProtection="1">
      <alignment horizontal="center" vertical="center" wrapText="1"/>
      <protection hidden="1"/>
    </xf>
    <xf numFmtId="0" fontId="7" fillId="9" borderId="4" xfId="0" applyFont="1" applyFill="1" applyBorder="1" applyAlignment="1" applyProtection="1">
      <alignment horizontal="center" vertical="center" wrapText="1"/>
      <protection hidden="1"/>
    </xf>
    <xf numFmtId="0" fontId="7" fillId="9" borderId="5" xfId="0" applyFont="1" applyFill="1" applyBorder="1" applyAlignment="1" applyProtection="1">
      <alignment horizontal="center" vertical="center" wrapText="1"/>
      <protection hidden="1"/>
    </xf>
    <xf numFmtId="0" fontId="7" fillId="9" borderId="6" xfId="0" applyFont="1" applyFill="1" applyBorder="1" applyAlignment="1" applyProtection="1">
      <alignment horizontal="center" vertical="center" wrapText="1"/>
      <protection hidden="1"/>
    </xf>
    <xf numFmtId="0" fontId="5" fillId="11" borderId="2" xfId="0" applyFont="1" applyFill="1" applyBorder="1" applyAlignment="1" applyProtection="1">
      <alignment horizontal="center" vertical="center" wrapText="1"/>
      <protection hidden="1"/>
    </xf>
    <xf numFmtId="0" fontId="5" fillId="11" borderId="1" xfId="0" applyFont="1" applyFill="1" applyBorder="1" applyAlignment="1" applyProtection="1">
      <alignment horizontal="center" vertical="center" wrapText="1"/>
      <protection hidden="1"/>
    </xf>
    <xf numFmtId="0" fontId="5" fillId="11" borderId="3" xfId="0" applyFont="1" applyFill="1" applyBorder="1" applyAlignment="1" applyProtection="1">
      <alignment horizontal="center" vertical="center" wrapText="1"/>
      <protection hidden="1"/>
    </xf>
    <xf numFmtId="0" fontId="5" fillId="11" borderId="4" xfId="0" applyFont="1" applyFill="1" applyBorder="1" applyAlignment="1" applyProtection="1">
      <alignment horizontal="center" vertical="center" wrapText="1"/>
      <protection hidden="1"/>
    </xf>
    <xf numFmtId="0" fontId="5" fillId="11" borderId="5" xfId="0" applyFont="1" applyFill="1" applyBorder="1" applyAlignment="1" applyProtection="1">
      <alignment horizontal="center" vertical="center" wrapText="1"/>
      <protection hidden="1"/>
    </xf>
    <xf numFmtId="0" fontId="5" fillId="11" borderId="6" xfId="0" applyFont="1" applyFill="1" applyBorder="1" applyAlignment="1" applyProtection="1">
      <alignment horizontal="center" vertical="center" wrapText="1"/>
      <protection hidden="1"/>
    </xf>
    <xf numFmtId="0" fontId="17" fillId="12" borderId="0" xfId="0" applyFont="1" applyFill="1" applyBorder="1" applyAlignment="1" applyProtection="1">
      <alignment horizontal="center" vertical="center"/>
      <protection hidden="1"/>
    </xf>
    <xf numFmtId="0" fontId="8" fillId="11" borderId="2" xfId="0" applyFont="1" applyFill="1" applyBorder="1" applyAlignment="1" applyProtection="1">
      <alignment horizontal="center" vertical="center"/>
      <protection hidden="1"/>
    </xf>
    <xf numFmtId="0" fontId="8" fillId="11" borderId="1" xfId="0" applyFont="1" applyFill="1" applyBorder="1" applyAlignment="1" applyProtection="1">
      <alignment horizontal="center" vertical="center"/>
      <protection hidden="1"/>
    </xf>
    <xf numFmtId="0" fontId="8" fillId="11" borderId="3" xfId="0" applyFont="1" applyFill="1" applyBorder="1" applyAlignment="1" applyProtection="1">
      <alignment horizontal="center" vertical="center"/>
      <protection hidden="1"/>
    </xf>
    <xf numFmtId="0" fontId="8" fillId="11" borderId="7" xfId="0" applyFont="1" applyFill="1" applyBorder="1" applyAlignment="1" applyProtection="1">
      <alignment horizontal="center" vertical="center"/>
      <protection hidden="1"/>
    </xf>
    <xf numFmtId="0" fontId="8" fillId="11" borderId="0" xfId="0" applyFont="1" applyFill="1" applyBorder="1" applyAlignment="1" applyProtection="1">
      <alignment horizontal="center" vertical="center"/>
      <protection hidden="1"/>
    </xf>
    <xf numFmtId="0" fontId="8" fillId="11" borderId="8" xfId="0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 applyProtection="1">
      <alignment horizontal="center" vertical="center"/>
      <protection locked="0" hidden="1"/>
    </xf>
    <xf numFmtId="0" fontId="9" fillId="7" borderId="1" xfId="0" applyFont="1" applyFill="1" applyBorder="1" applyAlignment="1" applyProtection="1">
      <alignment horizontal="center" vertical="center"/>
      <protection locked="0" hidden="1"/>
    </xf>
    <xf numFmtId="0" fontId="9" fillId="7" borderId="3" xfId="0" applyFont="1" applyFill="1" applyBorder="1" applyAlignment="1" applyProtection="1">
      <alignment horizontal="center" vertical="center"/>
      <protection locked="0" hidden="1"/>
    </xf>
    <xf numFmtId="0" fontId="9" fillId="7" borderId="7" xfId="0" applyFont="1" applyFill="1" applyBorder="1" applyAlignment="1" applyProtection="1">
      <alignment horizontal="center" vertical="center"/>
      <protection locked="0" hidden="1"/>
    </xf>
    <xf numFmtId="0" fontId="9" fillId="7" borderId="0" xfId="0" applyFont="1" applyFill="1" applyBorder="1" applyAlignment="1" applyProtection="1">
      <alignment horizontal="center" vertical="center"/>
      <protection locked="0" hidden="1"/>
    </xf>
    <xf numFmtId="0" fontId="9" fillId="7" borderId="8" xfId="0" applyFont="1" applyFill="1" applyBorder="1" applyAlignment="1" applyProtection="1">
      <alignment horizontal="center" vertical="center"/>
      <protection locked="0" hidden="1"/>
    </xf>
    <xf numFmtId="0" fontId="4" fillId="7" borderId="2" xfId="0" applyFont="1" applyFill="1" applyBorder="1" applyAlignment="1" applyProtection="1">
      <alignment horizontal="center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4" fillId="7" borderId="3" xfId="0" applyFont="1" applyFill="1" applyBorder="1" applyAlignment="1" applyProtection="1">
      <alignment horizontal="center"/>
      <protection hidden="1"/>
    </xf>
    <xf numFmtId="0" fontId="4" fillId="7" borderId="7" xfId="0" applyFont="1" applyFill="1" applyBorder="1" applyAlignment="1" applyProtection="1">
      <alignment horizontal="center"/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4" fillId="7" borderId="8" xfId="0" applyFont="1" applyFill="1" applyBorder="1" applyAlignment="1" applyProtection="1">
      <alignment horizontal="center"/>
      <protection hidden="1"/>
    </xf>
    <xf numFmtId="0" fontId="4" fillId="7" borderId="4" xfId="0" applyFont="1" applyFill="1" applyBorder="1" applyAlignment="1" applyProtection="1">
      <alignment horizontal="center"/>
      <protection hidden="1"/>
    </xf>
    <xf numFmtId="0" fontId="4" fillId="7" borderId="5" xfId="0" applyFont="1" applyFill="1" applyBorder="1" applyAlignment="1" applyProtection="1">
      <alignment horizontal="center"/>
      <protection hidden="1"/>
    </xf>
    <xf numFmtId="0" fontId="4" fillId="7" borderId="6" xfId="0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center" textRotation="90"/>
      <protection hidden="1"/>
    </xf>
    <xf numFmtId="0" fontId="10" fillId="5" borderId="14" xfId="0" applyFont="1" applyFill="1" applyBorder="1" applyAlignment="1" applyProtection="1">
      <alignment horizontal="center" textRotation="90"/>
      <protection hidden="1"/>
    </xf>
    <xf numFmtId="0" fontId="10" fillId="5" borderId="15" xfId="0" applyFont="1" applyFill="1" applyBorder="1" applyAlignment="1" applyProtection="1">
      <alignment horizontal="center" textRotation="90"/>
      <protection hidden="1"/>
    </xf>
    <xf numFmtId="0" fontId="8" fillId="5" borderId="18" xfId="0" applyFont="1" applyFill="1" applyBorder="1" applyAlignment="1" applyProtection="1">
      <alignment horizontal="center" vertical="center"/>
      <protection hidden="1"/>
    </xf>
    <xf numFmtId="0" fontId="8" fillId="5" borderId="19" xfId="0" applyFont="1" applyFill="1" applyBorder="1" applyAlignment="1" applyProtection="1">
      <alignment horizontal="center" vertical="center"/>
      <protection hidden="1"/>
    </xf>
    <xf numFmtId="0" fontId="8" fillId="5" borderId="20" xfId="0" applyFont="1" applyFill="1" applyBorder="1" applyAlignment="1" applyProtection="1">
      <alignment horizontal="center" vertical="center"/>
      <protection hidden="1"/>
    </xf>
    <xf numFmtId="0" fontId="10" fillId="19" borderId="19" xfId="0" applyFont="1" applyFill="1" applyBorder="1" applyAlignment="1" applyProtection="1">
      <alignment horizontal="center"/>
      <protection hidden="1"/>
    </xf>
    <xf numFmtId="0" fontId="10" fillId="19" borderId="20" xfId="0" applyFont="1" applyFill="1" applyBorder="1" applyAlignment="1" applyProtection="1">
      <alignment horizontal="center"/>
      <protection hidden="1"/>
    </xf>
    <xf numFmtId="0" fontId="9" fillId="14" borderId="12" xfId="0" applyFont="1" applyFill="1" applyBorder="1" applyAlignment="1" applyProtection="1">
      <alignment horizontal="center" vertical="center"/>
      <protection hidden="1"/>
    </xf>
    <xf numFmtId="0" fontId="9" fillId="7" borderId="21" xfId="0" applyFont="1" applyFill="1" applyBorder="1" applyAlignment="1" applyProtection="1">
      <alignment horizontal="left" vertical="center"/>
      <protection locked="0"/>
    </xf>
    <xf numFmtId="0" fontId="9" fillId="7" borderId="23" xfId="0" applyFont="1" applyFill="1" applyBorder="1" applyAlignment="1" applyProtection="1">
      <alignment horizontal="left" vertical="center"/>
      <protection locked="0"/>
    </xf>
    <xf numFmtId="0" fontId="9" fillId="7" borderId="27" xfId="0" applyFont="1" applyFill="1" applyBorder="1" applyAlignment="1" applyProtection="1">
      <alignment horizontal="left" vertical="center"/>
      <protection locked="0"/>
    </xf>
    <xf numFmtId="167" fontId="9" fillId="7" borderId="26" xfId="0" applyNumberFormat="1" applyFont="1" applyFill="1" applyBorder="1" applyAlignment="1" applyProtection="1">
      <alignment horizontal="center" vertical="center"/>
      <protection locked="0"/>
    </xf>
    <xf numFmtId="167" fontId="9" fillId="7" borderId="23" xfId="0" applyNumberFormat="1" applyFont="1" applyFill="1" applyBorder="1" applyAlignment="1" applyProtection="1">
      <alignment horizontal="center" vertical="center"/>
      <protection locked="0"/>
    </xf>
    <xf numFmtId="165" fontId="9" fillId="7" borderId="26" xfId="4" applyNumberFormat="1" applyFont="1" applyFill="1" applyBorder="1" applyAlignment="1" applyProtection="1">
      <alignment horizontal="center" vertical="center"/>
      <protection locked="0"/>
    </xf>
    <xf numFmtId="167" fontId="9" fillId="7" borderId="27" xfId="0" applyNumberFormat="1" applyFont="1" applyFill="1" applyBorder="1" applyAlignment="1" applyProtection="1">
      <alignment horizontal="center" vertical="center"/>
      <protection locked="0"/>
    </xf>
    <xf numFmtId="168" fontId="9" fillId="8" borderId="26" xfId="1" applyNumberFormat="1" applyFont="1" applyFill="1" applyBorder="1" applyAlignment="1" applyProtection="1">
      <alignment horizontal="center" vertical="center"/>
      <protection hidden="1"/>
    </xf>
    <xf numFmtId="168" fontId="9" fillId="8" borderId="23" xfId="1" applyNumberFormat="1" applyFont="1" applyFill="1" applyBorder="1" applyAlignment="1" applyProtection="1">
      <alignment horizontal="center" vertical="center"/>
      <protection hidden="1"/>
    </xf>
    <xf numFmtId="0" fontId="8" fillId="6" borderId="12" xfId="0" applyFont="1" applyFill="1" applyBorder="1" applyAlignment="1" applyProtection="1">
      <alignment horizontal="center" vertical="center"/>
      <protection hidden="1"/>
    </xf>
    <xf numFmtId="0" fontId="10" fillId="13" borderId="12" xfId="0" applyFont="1" applyFill="1" applyBorder="1" applyAlignment="1" applyProtection="1">
      <alignment horizontal="center" textRotation="90"/>
      <protection hidden="1"/>
    </xf>
    <xf numFmtId="0" fontId="10" fillId="5" borderId="13" xfId="0" applyFont="1" applyFill="1" applyBorder="1" applyAlignment="1" applyProtection="1">
      <alignment horizontal="center"/>
      <protection hidden="1"/>
    </xf>
    <xf numFmtId="0" fontId="10" fillId="5" borderId="14" xfId="0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8" fillId="5" borderId="17" xfId="0" applyFont="1" applyFill="1" applyBorder="1" applyAlignment="1" applyProtection="1">
      <alignment horizontal="center" vertical="center"/>
      <protection hidden="1"/>
    </xf>
    <xf numFmtId="0" fontId="10" fillId="19" borderId="25" xfId="0" applyFont="1" applyFill="1" applyBorder="1" applyAlignment="1" applyProtection="1">
      <alignment horizontal="center"/>
      <protection hidden="1"/>
    </xf>
    <xf numFmtId="0" fontId="10" fillId="19" borderId="12" xfId="0" applyFont="1" applyFill="1" applyBorder="1" applyAlignment="1" applyProtection="1">
      <alignment horizontal="center"/>
      <protection hidden="1"/>
    </xf>
    <xf numFmtId="0" fontId="8" fillId="17" borderId="23" xfId="0" applyFont="1" applyFill="1" applyBorder="1" applyAlignment="1" applyProtection="1">
      <alignment horizontal="center" vertical="center"/>
      <protection hidden="1"/>
    </xf>
    <xf numFmtId="0" fontId="16" fillId="32" borderId="19" xfId="0" applyFont="1" applyFill="1" applyBorder="1" applyAlignment="1" applyProtection="1">
      <alignment horizontal="center" textRotation="90"/>
      <protection hidden="1"/>
    </xf>
    <xf numFmtId="0" fontId="13" fillId="32" borderId="19" xfId="0" applyFont="1" applyFill="1" applyBorder="1" applyAlignment="1" applyProtection="1">
      <alignment horizontal="center" textRotation="90"/>
      <protection hidden="1"/>
    </xf>
    <xf numFmtId="0" fontId="11" fillId="32" borderId="19" xfId="0" applyFont="1" applyFill="1" applyBorder="1" applyAlignment="1" applyProtection="1">
      <alignment horizontal="center" textRotation="90"/>
      <protection hidden="1"/>
    </xf>
    <xf numFmtId="0" fontId="10" fillId="21" borderId="12" xfId="0" applyFont="1" applyFill="1" applyBorder="1" applyAlignment="1" applyProtection="1">
      <alignment horizontal="center" textRotation="90"/>
      <protection hidden="1"/>
    </xf>
    <xf numFmtId="0" fontId="10" fillId="23" borderId="12" xfId="0" applyFont="1" applyFill="1" applyBorder="1" applyAlignment="1" applyProtection="1">
      <alignment horizontal="center" textRotation="90"/>
      <protection hidden="1"/>
    </xf>
    <xf numFmtId="0" fontId="10" fillId="25" borderId="12" xfId="0" applyFont="1" applyFill="1" applyBorder="1" applyAlignment="1" applyProtection="1">
      <alignment horizontal="center" textRotation="90"/>
      <protection hidden="1"/>
    </xf>
    <xf numFmtId="0" fontId="10" fillId="27" borderId="12" xfId="0" applyFont="1" applyFill="1" applyBorder="1" applyAlignment="1" applyProtection="1">
      <alignment horizontal="center" textRotation="90"/>
      <protection hidden="1"/>
    </xf>
    <xf numFmtId="0" fontId="10" fillId="29" borderId="12" xfId="0" applyFont="1" applyFill="1" applyBorder="1" applyAlignment="1" applyProtection="1">
      <alignment horizontal="center" textRotation="90"/>
      <protection hidden="1"/>
    </xf>
    <xf numFmtId="0" fontId="10" fillId="15" borderId="12" xfId="0" applyFont="1" applyFill="1" applyBorder="1" applyAlignment="1" applyProtection="1">
      <alignment horizontal="center" textRotation="90"/>
      <protection hidden="1"/>
    </xf>
    <xf numFmtId="0" fontId="8" fillId="24" borderId="12" xfId="0" applyFont="1" applyFill="1" applyBorder="1" applyAlignment="1" applyProtection="1">
      <alignment horizontal="center" vertical="center"/>
      <protection hidden="1"/>
    </xf>
    <xf numFmtId="0" fontId="8" fillId="26" borderId="12" xfId="0" applyFont="1" applyFill="1" applyBorder="1" applyAlignment="1" applyProtection="1">
      <alignment horizontal="center" vertical="center"/>
      <protection hidden="1"/>
    </xf>
    <xf numFmtId="0" fontId="8" fillId="28" borderId="12" xfId="0" applyFont="1" applyFill="1" applyBorder="1" applyAlignment="1" applyProtection="1">
      <alignment horizontal="center" vertical="center"/>
      <protection hidden="1"/>
    </xf>
    <xf numFmtId="0" fontId="7" fillId="30" borderId="12" xfId="0" applyFont="1" applyFill="1" applyBorder="1" applyAlignment="1" applyProtection="1">
      <alignment horizontal="center" vertical="center"/>
      <protection hidden="1"/>
    </xf>
    <xf numFmtId="0" fontId="7" fillId="20" borderId="12" xfId="0" applyFont="1" applyFill="1" applyBorder="1" applyAlignment="1" applyProtection="1">
      <alignment horizontal="center" vertical="center"/>
      <protection hidden="1"/>
    </xf>
    <xf numFmtId="0" fontId="8" fillId="22" borderId="12" xfId="0" applyFont="1" applyFill="1" applyBorder="1" applyAlignment="1" applyProtection="1">
      <alignment horizontal="center" vertical="center"/>
      <protection hidden="1"/>
    </xf>
    <xf numFmtId="165" fontId="8" fillId="17" borderId="23" xfId="4" applyNumberFormat="1" applyFont="1" applyFill="1" applyBorder="1" applyAlignment="1" applyProtection="1">
      <alignment horizontal="center" vertical="center"/>
      <protection hidden="1"/>
    </xf>
    <xf numFmtId="0" fontId="10" fillId="19" borderId="24" xfId="0" applyFont="1" applyFill="1" applyBorder="1" applyAlignment="1" applyProtection="1">
      <alignment horizontal="center"/>
      <protection hidden="1"/>
    </xf>
    <xf numFmtId="168" fontId="8" fillId="17" borderId="23" xfId="1" applyNumberFormat="1" applyFont="1" applyFill="1" applyBorder="1" applyAlignment="1" applyProtection="1">
      <alignment horizontal="center" vertical="center"/>
      <protection hidden="1"/>
    </xf>
    <xf numFmtId="168" fontId="8" fillId="17" borderId="23" xfId="0" applyNumberFormat="1" applyFont="1" applyFill="1" applyBorder="1" applyAlignment="1" applyProtection="1">
      <alignment horizontal="center" vertical="center"/>
      <protection hidden="1"/>
    </xf>
    <xf numFmtId="168" fontId="8" fillId="17" borderId="22" xfId="0" applyNumberFormat="1" applyFont="1" applyFill="1" applyBorder="1" applyAlignment="1" applyProtection="1">
      <alignment horizontal="center" vertical="center"/>
      <protection hidden="1"/>
    </xf>
    <xf numFmtId="0" fontId="19" fillId="8" borderId="13" xfId="0" applyFont="1" applyFill="1" applyBorder="1" applyAlignment="1" applyProtection="1">
      <alignment horizontal="left" vertical="center"/>
      <protection hidden="1"/>
    </xf>
    <xf numFmtId="0" fontId="19" fillId="8" borderId="14" xfId="0" applyFont="1" applyFill="1" applyBorder="1" applyAlignment="1" applyProtection="1">
      <alignment horizontal="left" vertical="center"/>
      <protection hidden="1"/>
    </xf>
    <xf numFmtId="0" fontId="19" fillId="8" borderId="15" xfId="0" applyFont="1" applyFill="1" applyBorder="1" applyAlignment="1" applyProtection="1">
      <alignment horizontal="left" vertical="center"/>
      <protection hidden="1"/>
    </xf>
    <xf numFmtId="0" fontId="19" fillId="8" borderId="18" xfId="0" applyFont="1" applyFill="1" applyBorder="1" applyAlignment="1" applyProtection="1">
      <alignment horizontal="left" vertical="center"/>
      <protection hidden="1"/>
    </xf>
    <xf numFmtId="0" fontId="19" fillId="8" borderId="19" xfId="0" applyFont="1" applyFill="1" applyBorder="1" applyAlignment="1" applyProtection="1">
      <alignment horizontal="left" vertical="center"/>
      <protection hidden="1"/>
    </xf>
    <xf numFmtId="0" fontId="19" fillId="8" borderId="20" xfId="0" applyFont="1" applyFill="1" applyBorder="1" applyAlignment="1" applyProtection="1">
      <alignment horizontal="left" vertical="center"/>
      <protection hidden="1"/>
    </xf>
    <xf numFmtId="0" fontId="4" fillId="7" borderId="28" xfId="0" applyFont="1" applyFill="1" applyBorder="1" applyProtection="1">
      <protection hidden="1"/>
    </xf>
  </cellXfs>
  <cellStyles count="5">
    <cellStyle name="Hiperlink" xfId="3" builtinId="8"/>
    <cellStyle name="Normal" xfId="0" builtinId="0"/>
    <cellStyle name="Porcentagem" xfId="1" builtinId="5"/>
    <cellStyle name="situacao_reprovado" xfId="2"/>
    <cellStyle name="Vírgula" xfId="4" builtinId="3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94BD5E"/>
      <rgbColor rgb="006B0094"/>
      <rgbColor rgb="00008080"/>
      <rgbColor rgb="00BABDB6"/>
      <rgbColor rgb="00AD7FA8"/>
      <rgbColor rgb="009999CC"/>
      <rgbColor rgb="00993366"/>
      <rgbColor rgb="00F2F2BF"/>
      <rgbColor rgb="00EDEDED"/>
      <rgbColor rgb="00660066"/>
      <rgbColor rgb="00FF9966"/>
      <rgbColor rgb="000066CC"/>
      <rgbColor rgb="00D3D7CF"/>
      <rgbColor rgb="00000080"/>
      <rgbColor rgb="00FF00FF"/>
      <rgbColor rgb="008AE234"/>
      <rgbColor rgb="0000FFFF"/>
      <rgbColor rgb="00800080"/>
      <rgbColor rgb="00800000"/>
      <rgbColor rgb="00008080"/>
      <rgbColor rgb="000000FF"/>
      <rgbColor rgb="0000CCFF"/>
      <rgbColor rgb="00EEEEEC"/>
      <rgbColor rgb="00E6E6E6"/>
      <rgbColor rgb="00F7F6F4"/>
      <rgbColor rgb="00B3B3B3"/>
      <rgbColor rgb="00FF99CC"/>
      <rgbColor rgb="00CC99FF"/>
      <rgbColor rgb="00EBE0B2"/>
      <rgbColor rgb="003366FF"/>
      <rgbColor rgb="00729FCF"/>
      <rgbColor rgb="00AECF00"/>
      <rgbColor rgb="00EDD400"/>
      <rgbColor rgb="00FF950E"/>
      <rgbColor rgb="00EF2929"/>
      <rgbColor rgb="00666666"/>
      <rgbColor rgb="00999999"/>
      <rgbColor rgb="00004586"/>
      <rgbColor rgb="00339966"/>
      <rgbColor rgb="00003300"/>
      <rgbColor rgb="00333300"/>
      <rgbColor rgb="00DC2300"/>
      <rgbColor rgb="00993366"/>
      <rgbColor rgb="00214184"/>
      <rgbColor rgb="00333333"/>
    </indexedColors>
    <mruColors>
      <color rgb="FFFF0000"/>
      <color rgb="FF99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95717464853396E-2"/>
          <c:y val="9.8440893993061912E-2"/>
          <c:w val="0.89288593650225201"/>
          <c:h val="0.66567501073652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BOLETIM!$BS$41</c:f>
              <c:strCache>
                <c:ptCount val="1"/>
                <c:pt idx="0">
                  <c:v>UNIDADE 1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>
              <a:solidFill>
                <a:schemeClr val="tx1">
                  <a:alpha val="50000"/>
                </a:schemeClr>
              </a:solidFill>
            </a:ln>
          </c:spPr>
          <c:invertIfNegative val="0"/>
          <c:cat>
            <c:multiLvlStrRef>
              <c:f>BOLETIM!$BR$43:$BR$58</c:f>
            </c:multiLvlStrRef>
          </c:cat>
          <c:val>
            <c:numRef>
              <c:f>BOLETIM!$BS$43:$BS$58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BOLETIM!$BT$41</c:f>
              <c:strCache>
                <c:ptCount val="1"/>
                <c:pt idx="0">
                  <c:v>UNIDADE 2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  <a:ln>
              <a:solidFill>
                <a:schemeClr val="tx1">
                  <a:alpha val="50000"/>
                </a:schemeClr>
              </a:solidFill>
            </a:ln>
          </c:spPr>
          <c:invertIfNegative val="0"/>
          <c:cat>
            <c:multiLvlStrRef>
              <c:f>BOLETIM!$BR$43:$BR$58</c:f>
            </c:multiLvlStrRef>
          </c:cat>
          <c:val>
            <c:numRef>
              <c:f>BOLETIM!$BT$43:$BT$58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BOLETIM!$BU$41</c:f>
              <c:strCache>
                <c:ptCount val="1"/>
                <c:pt idx="0">
                  <c:v>UNIDADE 3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>
              <a:solidFill>
                <a:schemeClr val="tx1">
                  <a:alpha val="50000"/>
                </a:schemeClr>
              </a:solidFill>
            </a:ln>
          </c:spPr>
          <c:invertIfNegative val="0"/>
          <c:cat>
            <c:multiLvlStrRef>
              <c:f>BOLETIM!$BR$43:$BR$58</c:f>
            </c:multiLvlStrRef>
          </c:cat>
          <c:val>
            <c:numRef>
              <c:f>BOLETIM!$BU$43:$BU$58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BOLETIM!$BV$41</c:f>
              <c:strCache>
                <c:ptCount val="1"/>
                <c:pt idx="0">
                  <c:v>UNIDADE 4</c:v>
                </c:pt>
              </c:strCache>
            </c:strRef>
          </c:tx>
          <c:spPr>
            <a:solidFill>
              <a:srgbClr val="7030A0">
                <a:alpha val="50000"/>
              </a:srgbClr>
            </a:solidFill>
            <a:ln>
              <a:solidFill>
                <a:schemeClr val="tx1">
                  <a:alpha val="50000"/>
                </a:schemeClr>
              </a:solidFill>
            </a:ln>
          </c:spPr>
          <c:invertIfNegative val="0"/>
          <c:cat>
            <c:multiLvlStrRef>
              <c:f>BOLETIM!$BR$43:$BR$58</c:f>
            </c:multiLvlStrRef>
          </c:cat>
          <c:val>
            <c:numRef>
              <c:f>BOLETIM!$BV$43:$BV$58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90"/>
        <c:axId val="153172992"/>
        <c:axId val="82944768"/>
      </c:barChart>
      <c:lineChart>
        <c:grouping val="standard"/>
        <c:varyColors val="0"/>
        <c:ser>
          <c:idx val="4"/>
          <c:order val="4"/>
          <c:tx>
            <c:strRef>
              <c:f>BOLETIM!$BW$41</c:f>
              <c:strCache>
                <c:ptCount val="1"/>
                <c:pt idx="0">
                  <c:v>MÉDIA ATUAL</c:v>
                </c:pt>
              </c:strCache>
            </c:strRef>
          </c:tx>
          <c:spPr>
            <a:ln w="41275">
              <a:noFill/>
            </a:ln>
          </c:spPr>
          <c:marker>
            <c:symbol val="dash"/>
            <c:size val="16"/>
            <c:spPr>
              <a:solidFill>
                <a:schemeClr val="tx1"/>
              </a:solidFill>
              <a:ln w="152400">
                <a:solidFill>
                  <a:schemeClr val="tx2"/>
                </a:solidFill>
              </a:ln>
            </c:spPr>
          </c:marker>
          <c:dLbls>
            <c:spPr>
              <a:noFill/>
              <a:ln w="38100" cap="rnd">
                <a:noFill/>
              </a:ln>
            </c:spPr>
            <c:txPr>
              <a:bodyPr rot="0" vert="horz"/>
              <a:lstStyle/>
              <a:p>
                <a:pPr>
                  <a:defRPr sz="105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multiLvlStrRef>
              <c:f>BOLETIM!$BR$43:$BR$58</c:f>
            </c:multiLvlStrRef>
          </c:cat>
          <c:val>
            <c:numRef>
              <c:f>BOLETIM!$BW$43:$BW$58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508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149225" cap="rnd">
                <a:solidFill>
                  <a:schemeClr val="accent6">
                    <a:lumMod val="75000"/>
                  </a:schemeClr>
                </a:solidFill>
                <a:tailEnd type="none"/>
              </a:ln>
            </c:spPr>
          </c:marker>
          <c:dLbls>
            <c:txPr>
              <a:bodyPr/>
              <a:lstStyle/>
              <a:p>
                <a:pPr>
                  <a:defRPr sz="1050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BOLETIM!$BR$43:$BR$58</c:f>
            </c:multiLvlStrRef>
          </c:cat>
          <c:val>
            <c:numRef>
              <c:f>BOLETIM!$BZ$43:$BZ$58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72992"/>
        <c:axId val="82944768"/>
      </c:lineChart>
      <c:lineChart>
        <c:grouping val="standard"/>
        <c:varyColors val="0"/>
        <c:ser>
          <c:idx val="6"/>
          <c:order val="6"/>
          <c:tx>
            <c:strRef>
              <c:f>BOLETIM!$BY$41</c:f>
              <c:strCache>
                <c:ptCount val="1"/>
                <c:pt idx="0">
                  <c:v>FREQUÊNCIA (%)</c:v>
                </c:pt>
              </c:strCache>
            </c:strRef>
          </c:tx>
          <c:spPr>
            <a:ln w="127000" cap="rnd" cmpd="sng">
              <a:solidFill>
                <a:srgbClr val="FF0000">
                  <a:alpha val="60000"/>
                </a:srgbClr>
              </a:solidFill>
              <a:prstDash val="solid"/>
              <a:headEnd type="none" w="lg" len="lg"/>
              <a:tailEnd type="none" w="lg" len="lg"/>
            </a:ln>
          </c:spPr>
          <c:marker>
            <c:symbol val="none"/>
          </c:marker>
          <c:val>
            <c:numRef>
              <c:f>BOLETIM!$BY$43:$BY$58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52192"/>
        <c:axId val="82946304"/>
      </c:lineChart>
      <c:catAx>
        <c:axId val="153172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pt-BR"/>
          </a:p>
        </c:txPr>
        <c:crossAx val="82944768"/>
        <c:crosses val="autoZero"/>
        <c:auto val="1"/>
        <c:lblAlgn val="ctr"/>
        <c:lblOffset val="100"/>
        <c:noMultiLvlLbl val="0"/>
      </c:catAx>
      <c:valAx>
        <c:axId val="82944768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3172992"/>
        <c:crosses val="autoZero"/>
        <c:crossBetween val="between"/>
      </c:valAx>
      <c:valAx>
        <c:axId val="82946304"/>
        <c:scaling>
          <c:orientation val="minMax"/>
          <c:max val="1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crossAx val="82952192"/>
        <c:crosses val="max"/>
        <c:crossBetween val="between"/>
      </c:valAx>
      <c:catAx>
        <c:axId val="82952192"/>
        <c:scaling>
          <c:orientation val="minMax"/>
        </c:scaling>
        <c:delete val="1"/>
        <c:axPos val="b"/>
        <c:majorTickMark val="out"/>
        <c:minorTickMark val="none"/>
        <c:tickLblPos val="nextTo"/>
        <c:crossAx val="82946304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BOLETIM!$BR$51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BOLETIM!$BS$51:$BV$51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5676800"/>
        <c:axId val="57147392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BOLETIM!$BZ$51:$CC$51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6800"/>
        <c:axId val="57147392"/>
      </c:lineChart>
      <c:catAx>
        <c:axId val="4567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57147392"/>
        <c:crosses val="autoZero"/>
        <c:auto val="1"/>
        <c:lblAlgn val="ctr"/>
        <c:lblOffset val="100"/>
        <c:noMultiLvlLbl val="0"/>
      </c:catAx>
      <c:valAx>
        <c:axId val="57147392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5676800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BOLETIM!$BR$52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BOLETIM!$BS$52:$BV$52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058112"/>
        <c:axId val="57160064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BOLETIM!$BZ$52:$CC$52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8112"/>
        <c:axId val="57160064"/>
      </c:lineChart>
      <c:catAx>
        <c:axId val="4605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57160064"/>
        <c:crosses val="autoZero"/>
        <c:auto val="1"/>
        <c:lblAlgn val="ctr"/>
        <c:lblOffset val="100"/>
        <c:noMultiLvlLbl val="0"/>
      </c:catAx>
      <c:valAx>
        <c:axId val="57160064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6058112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BOLETIM!$BR$53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BOLETIM!$BS$53:$BV$53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7179136"/>
        <c:axId val="57185024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BOLETIM!$BZ$53:$CC$53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79136"/>
        <c:axId val="57185024"/>
      </c:lineChart>
      <c:catAx>
        <c:axId val="5717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57185024"/>
        <c:crosses val="autoZero"/>
        <c:auto val="1"/>
        <c:lblAlgn val="ctr"/>
        <c:lblOffset val="100"/>
        <c:noMultiLvlLbl val="0"/>
      </c:catAx>
      <c:valAx>
        <c:axId val="57185024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7179136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BOLETIM!$BR$54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BOLETIM!$BS$54:$BV$54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2975744"/>
        <c:axId val="82977536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BOLETIM!$BZ$54:$CC$54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5744"/>
        <c:axId val="82977536"/>
      </c:lineChart>
      <c:catAx>
        <c:axId val="8297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82977536"/>
        <c:crosses val="autoZero"/>
        <c:auto val="1"/>
        <c:lblAlgn val="ctr"/>
        <c:lblOffset val="100"/>
        <c:noMultiLvlLbl val="0"/>
      </c:catAx>
      <c:valAx>
        <c:axId val="82977536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2975744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BOLETIM!$BR$55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BOLETIM!$BS$55:$BV$55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3001344"/>
        <c:axId val="83002880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BOLETIM!$BZ$55:$CC$55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01344"/>
        <c:axId val="83002880"/>
      </c:lineChart>
      <c:catAx>
        <c:axId val="8300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83002880"/>
        <c:crosses val="autoZero"/>
        <c:auto val="1"/>
        <c:lblAlgn val="ctr"/>
        <c:lblOffset val="100"/>
        <c:noMultiLvlLbl val="0"/>
      </c:catAx>
      <c:valAx>
        <c:axId val="83002880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3001344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BOLETIM!$BR$56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BOLETIM!$BS$56:$BV$56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923008"/>
        <c:axId val="112924544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BOLETIM!$BZ$56:$CC$56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3008"/>
        <c:axId val="112924544"/>
      </c:lineChart>
      <c:catAx>
        <c:axId val="11292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924544"/>
        <c:crosses val="autoZero"/>
        <c:auto val="1"/>
        <c:lblAlgn val="ctr"/>
        <c:lblOffset val="100"/>
        <c:noMultiLvlLbl val="0"/>
      </c:catAx>
      <c:valAx>
        <c:axId val="112924544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2923008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BOLETIM!$BR$57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BOLETIM!$BS$57:$BV$57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947968"/>
        <c:axId val="112949504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BOLETIM!$BZ$57:$CC$57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7968"/>
        <c:axId val="112949504"/>
      </c:lineChart>
      <c:catAx>
        <c:axId val="11294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949504"/>
        <c:crosses val="autoZero"/>
        <c:auto val="1"/>
        <c:lblAlgn val="ctr"/>
        <c:lblOffset val="100"/>
        <c:noMultiLvlLbl val="0"/>
      </c:catAx>
      <c:valAx>
        <c:axId val="112949504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2947968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BOLETIM!$BR$58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BOLETIM!$BS$58:$BV$58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981120"/>
        <c:axId val="112982656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BOLETIM!$BZ$58:$CC$58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81120"/>
        <c:axId val="112982656"/>
      </c:lineChart>
      <c:catAx>
        <c:axId val="11298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2982656"/>
        <c:crosses val="autoZero"/>
        <c:auto val="1"/>
        <c:lblAlgn val="ctr"/>
        <c:lblOffset val="100"/>
        <c:noMultiLvlLbl val="0"/>
      </c:catAx>
      <c:valAx>
        <c:axId val="112982656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2981120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BOLETIM!$BR$43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BOLETIM!$BS$43:$BV$43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2967552"/>
        <c:axId val="84759296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BOLETIM!$BZ$43:$CC$43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67552"/>
        <c:axId val="84759296"/>
      </c:lineChart>
      <c:catAx>
        <c:axId val="8296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84759296"/>
        <c:crosses val="autoZero"/>
        <c:auto val="1"/>
        <c:lblAlgn val="ctr"/>
        <c:lblOffset val="100"/>
        <c:noMultiLvlLbl val="0"/>
      </c:catAx>
      <c:valAx>
        <c:axId val="84759296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2967552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BOLETIM!$BR$44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BOLETIM!$BS$44:$BV$44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901504"/>
        <c:axId val="112907392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BOLETIM!$BZ$44:$CC$44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01504"/>
        <c:axId val="112907392"/>
      </c:lineChart>
      <c:catAx>
        <c:axId val="11290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907392"/>
        <c:crosses val="autoZero"/>
        <c:auto val="1"/>
        <c:lblAlgn val="ctr"/>
        <c:lblOffset val="100"/>
        <c:noMultiLvlLbl val="0"/>
      </c:catAx>
      <c:valAx>
        <c:axId val="112907392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2901504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BOLETIM!$BR$45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BOLETIM!$BS$45:$BV$45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141184"/>
        <c:axId val="146142720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BOLETIM!$BZ$45:$CC$45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41184"/>
        <c:axId val="146142720"/>
      </c:lineChart>
      <c:catAx>
        <c:axId val="14614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142720"/>
        <c:crosses val="autoZero"/>
        <c:auto val="1"/>
        <c:lblAlgn val="ctr"/>
        <c:lblOffset val="100"/>
        <c:noMultiLvlLbl val="0"/>
      </c:catAx>
      <c:valAx>
        <c:axId val="146142720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6141184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BOLETIM!$BR$46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BOLETIM!$BS$46:$BV$46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317696"/>
        <c:axId val="146319232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BOLETIM!$BZ$46:$CC$46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17696"/>
        <c:axId val="146319232"/>
      </c:lineChart>
      <c:catAx>
        <c:axId val="14631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6319232"/>
        <c:crosses val="autoZero"/>
        <c:auto val="1"/>
        <c:lblAlgn val="ctr"/>
        <c:lblOffset val="100"/>
        <c:noMultiLvlLbl val="0"/>
      </c:catAx>
      <c:valAx>
        <c:axId val="146319232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6317696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BOLETIM!$BR$47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BOLETIM!$BS$47:$BV$47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338560"/>
        <c:axId val="146340096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BOLETIM!$BZ$47:$CC$47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38560"/>
        <c:axId val="146340096"/>
      </c:lineChart>
      <c:catAx>
        <c:axId val="14633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6340096"/>
        <c:crosses val="autoZero"/>
        <c:auto val="1"/>
        <c:lblAlgn val="ctr"/>
        <c:lblOffset val="100"/>
        <c:noMultiLvlLbl val="0"/>
      </c:catAx>
      <c:valAx>
        <c:axId val="146340096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6338560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BOLETIM!$BR$48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BOLETIM!$BS$48:$BV$48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3199744"/>
        <c:axId val="153201280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BOLETIM!$BZ$48:$CC$48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99744"/>
        <c:axId val="153201280"/>
      </c:lineChart>
      <c:catAx>
        <c:axId val="15319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53201280"/>
        <c:crosses val="autoZero"/>
        <c:auto val="1"/>
        <c:lblAlgn val="ctr"/>
        <c:lblOffset val="100"/>
        <c:noMultiLvlLbl val="0"/>
      </c:catAx>
      <c:valAx>
        <c:axId val="153201280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3199744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BOLETIM!$BR$49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BOLETIM!$BS$49:$BV$49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5614208"/>
        <c:axId val="45615744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BOLETIM!$BZ$49:$CC$49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4208"/>
        <c:axId val="45615744"/>
      </c:lineChart>
      <c:catAx>
        <c:axId val="4561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45615744"/>
        <c:crosses val="autoZero"/>
        <c:auto val="1"/>
        <c:lblAlgn val="ctr"/>
        <c:lblOffset val="100"/>
        <c:noMultiLvlLbl val="0"/>
      </c:catAx>
      <c:valAx>
        <c:axId val="45615744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5614208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BOLETIM!$BR$50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5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7030A0">
                  <a:alpha val="50000"/>
                </a:srgbClr>
              </a:solidFill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BOLETIM!$BS$50:$BV$50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5643648"/>
        <c:axId val="45645184"/>
      </c:barChart>
      <c:lineChart>
        <c:grouping val="standard"/>
        <c:varyColors val="0"/>
        <c:ser>
          <c:idx val="2"/>
          <c:order val="1"/>
          <c:tx>
            <c:strRef>
              <c:f>BOLETIM!$BZ$41</c:f>
              <c:strCache>
                <c:ptCount val="1"/>
                <c:pt idx="0">
                  <c:v>META ANUAL</c:v>
                </c:pt>
              </c:strCache>
            </c:strRef>
          </c:tx>
          <c:spPr>
            <a:ln w="38100">
              <a:noFill/>
            </a:ln>
          </c:spPr>
          <c:marker>
            <c:symbol val="dash"/>
            <c:size val="16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BOLETIM!$BS$42:$BV$42</c:f>
              <c:strCache>
                <c:ptCount val="4"/>
                <c:pt idx="0">
                  <c:v>UN1</c:v>
                </c:pt>
                <c:pt idx="1">
                  <c:v>UN2</c:v>
                </c:pt>
                <c:pt idx="2">
                  <c:v>UN3</c:v>
                </c:pt>
                <c:pt idx="3">
                  <c:v>UN4</c:v>
                </c:pt>
              </c:strCache>
            </c:strRef>
          </c:cat>
          <c:val>
            <c:numRef>
              <c:f>BOLETIM!$BZ$50:$CC$50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3648"/>
        <c:axId val="45645184"/>
      </c:lineChart>
      <c:catAx>
        <c:axId val="45643648"/>
        <c:scaling>
          <c:orientation val="minMax"/>
        </c:scaling>
        <c:delete val="0"/>
        <c:axPos val="b"/>
        <c:majorTickMark val="out"/>
        <c:minorTickMark val="none"/>
        <c:tickLblPos val="nextTo"/>
        <c:crossAx val="45645184"/>
        <c:crosses val="autoZero"/>
        <c:auto val="1"/>
        <c:lblAlgn val="ctr"/>
        <c:lblOffset val="100"/>
        <c:noMultiLvlLbl val="0"/>
      </c:catAx>
      <c:valAx>
        <c:axId val="45645184"/>
        <c:scaling>
          <c:orientation val="minMax"/>
          <c:max val="1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5643648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reidasplanilhas.com.br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hyperlink" Target="http://reidasplanilhas.com.br/" TargetMode="External"/><Relationship Id="rId26" Type="http://schemas.openxmlformats.org/officeDocument/2006/relationships/hyperlink" Target="http://reidasplanilhas.com.br/termos-de-uso/?cod=RDP0025" TargetMode="External"/><Relationship Id="rId3" Type="http://schemas.openxmlformats.org/officeDocument/2006/relationships/chart" Target="../charts/chart3.xml"/><Relationship Id="rId21" Type="http://schemas.openxmlformats.org/officeDocument/2006/relationships/image" Target="../media/image2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5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hyperlink" Target="http://reidasplanilhas.com.br/compartilhe/?cod=RDP0025" TargetMode="External"/><Relationship Id="rId29" Type="http://schemas.openxmlformats.org/officeDocument/2006/relationships/image" Target="../media/image7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hyperlink" Target="http://reidasplanilhas.com.br/ajuda-online/?cod=RDP0025" TargetMode="Externa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4.png"/><Relationship Id="rId28" Type="http://schemas.openxmlformats.org/officeDocument/2006/relationships/hyperlink" Target="http://reidasplanilhas.com.br/doacoes/?cod=RDP0025" TargetMode="Externa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3.png"/><Relationship Id="rId27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5345906</xdr:colOff>
      <xdr:row>3</xdr:row>
      <xdr:rowOff>238125</xdr:rowOff>
    </xdr:to>
    <xdr:sp macro="" textlink="">
      <xdr:nvSpPr>
        <xdr:cNvPr id="2" name="Retângulo 1"/>
        <xdr:cNvSpPr/>
      </xdr:nvSpPr>
      <xdr:spPr bwMode="auto">
        <a:xfrm>
          <a:off x="0" y="0"/>
          <a:ext cx="5524500" cy="988219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59530</xdr:colOff>
      <xdr:row>0</xdr:row>
      <xdr:rowOff>0</xdr:rowOff>
    </xdr:from>
    <xdr:to>
      <xdr:col>1</xdr:col>
      <xdr:colOff>3604154</xdr:colOff>
      <xdr:row>3</xdr:row>
      <xdr:rowOff>202406</xdr:rowOff>
    </xdr:to>
    <xdr:pic>
      <xdr:nvPicPr>
        <xdr:cNvPr id="3" name="Imagem 4" descr="logo.gif">
          <a:hlinkClick xmlns:r="http://schemas.openxmlformats.org/officeDocument/2006/relationships" r:id="rId1" tooltip="Clique para retornar ao nosso blog!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0" y="0"/>
          <a:ext cx="372321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42</xdr:row>
      <xdr:rowOff>23812</xdr:rowOff>
    </xdr:from>
    <xdr:to>
      <xdr:col>64</xdr:col>
      <xdr:colOff>161925</xdr:colOff>
      <xdr:row>87</xdr:row>
      <xdr:rowOff>154781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16</xdr:col>
      <xdr:colOff>166687</xdr:colOff>
      <xdr:row>122</xdr:row>
      <xdr:rowOff>154781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101</xdr:row>
      <xdr:rowOff>0</xdr:rowOff>
    </xdr:from>
    <xdr:to>
      <xdr:col>32</xdr:col>
      <xdr:colOff>166687</xdr:colOff>
      <xdr:row>122</xdr:row>
      <xdr:rowOff>154781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0</xdr:colOff>
      <xdr:row>101</xdr:row>
      <xdr:rowOff>0</xdr:rowOff>
    </xdr:from>
    <xdr:to>
      <xdr:col>48</xdr:col>
      <xdr:colOff>166687</xdr:colOff>
      <xdr:row>122</xdr:row>
      <xdr:rowOff>154781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101</xdr:row>
      <xdr:rowOff>0</xdr:rowOff>
    </xdr:from>
    <xdr:to>
      <xdr:col>64</xdr:col>
      <xdr:colOff>166687</xdr:colOff>
      <xdr:row>122</xdr:row>
      <xdr:rowOff>154781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126</xdr:row>
      <xdr:rowOff>0</xdr:rowOff>
    </xdr:from>
    <xdr:to>
      <xdr:col>16</xdr:col>
      <xdr:colOff>166687</xdr:colOff>
      <xdr:row>147</xdr:row>
      <xdr:rowOff>154781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126</xdr:row>
      <xdr:rowOff>0</xdr:rowOff>
    </xdr:from>
    <xdr:to>
      <xdr:col>32</xdr:col>
      <xdr:colOff>166687</xdr:colOff>
      <xdr:row>147</xdr:row>
      <xdr:rowOff>154781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0</xdr:colOff>
      <xdr:row>126</xdr:row>
      <xdr:rowOff>0</xdr:rowOff>
    </xdr:from>
    <xdr:to>
      <xdr:col>48</xdr:col>
      <xdr:colOff>166687</xdr:colOff>
      <xdr:row>147</xdr:row>
      <xdr:rowOff>154781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0</xdr:colOff>
      <xdr:row>126</xdr:row>
      <xdr:rowOff>0</xdr:rowOff>
    </xdr:from>
    <xdr:to>
      <xdr:col>64</xdr:col>
      <xdr:colOff>166687</xdr:colOff>
      <xdr:row>147</xdr:row>
      <xdr:rowOff>154781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16</xdr:col>
      <xdr:colOff>166687</xdr:colOff>
      <xdr:row>172</xdr:row>
      <xdr:rowOff>154781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151</xdr:row>
      <xdr:rowOff>0</xdr:rowOff>
    </xdr:from>
    <xdr:to>
      <xdr:col>32</xdr:col>
      <xdr:colOff>166687</xdr:colOff>
      <xdr:row>172</xdr:row>
      <xdr:rowOff>154781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0</xdr:colOff>
      <xdr:row>151</xdr:row>
      <xdr:rowOff>0</xdr:rowOff>
    </xdr:from>
    <xdr:to>
      <xdr:col>48</xdr:col>
      <xdr:colOff>166687</xdr:colOff>
      <xdr:row>172</xdr:row>
      <xdr:rowOff>154781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49</xdr:col>
      <xdr:colOff>0</xdr:colOff>
      <xdr:row>151</xdr:row>
      <xdr:rowOff>0</xdr:rowOff>
    </xdr:from>
    <xdr:to>
      <xdr:col>64</xdr:col>
      <xdr:colOff>166687</xdr:colOff>
      <xdr:row>172</xdr:row>
      <xdr:rowOff>154781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16</xdr:col>
      <xdr:colOff>166687</xdr:colOff>
      <xdr:row>197</xdr:row>
      <xdr:rowOff>154781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176</xdr:row>
      <xdr:rowOff>0</xdr:rowOff>
    </xdr:from>
    <xdr:to>
      <xdr:col>32</xdr:col>
      <xdr:colOff>166687</xdr:colOff>
      <xdr:row>197</xdr:row>
      <xdr:rowOff>154781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0</xdr:colOff>
      <xdr:row>176</xdr:row>
      <xdr:rowOff>0</xdr:rowOff>
    </xdr:from>
    <xdr:to>
      <xdr:col>48</xdr:col>
      <xdr:colOff>166687</xdr:colOff>
      <xdr:row>197</xdr:row>
      <xdr:rowOff>154781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49</xdr:col>
      <xdr:colOff>0</xdr:colOff>
      <xdr:row>176</xdr:row>
      <xdr:rowOff>0</xdr:rowOff>
    </xdr:from>
    <xdr:to>
      <xdr:col>64</xdr:col>
      <xdr:colOff>166687</xdr:colOff>
      <xdr:row>197</xdr:row>
      <xdr:rowOff>154781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66</xdr:col>
      <xdr:colOff>0</xdr:colOff>
      <xdr:row>0</xdr:row>
      <xdr:rowOff>1044000</xdr:rowOff>
    </xdr:to>
    <xdr:sp macro="" textlink="">
      <xdr:nvSpPr>
        <xdr:cNvPr id="24" name="Retângulo 23"/>
        <xdr:cNvSpPr/>
      </xdr:nvSpPr>
      <xdr:spPr>
        <a:xfrm>
          <a:off x="1" y="0"/>
          <a:ext cx="11874500" cy="1044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20</xdr:col>
      <xdr:colOff>124885</xdr:colOff>
      <xdr:row>0</xdr:row>
      <xdr:rowOff>952500</xdr:rowOff>
    </xdr:to>
    <xdr:pic>
      <xdr:nvPicPr>
        <xdr:cNvPr id="25" name="Imagem 4" descr="logo.gif">
          <a:hlinkClick xmlns:r="http://schemas.openxmlformats.org/officeDocument/2006/relationships" r:id="rId18" tooltip="Clique para retornar ao nosso blog!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2321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55</xdr:col>
      <xdr:colOff>110882</xdr:colOff>
      <xdr:row>0</xdr:row>
      <xdr:rowOff>0</xdr:rowOff>
    </xdr:from>
    <xdr:to>
      <xdr:col>65</xdr:col>
      <xdr:colOff>9326</xdr:colOff>
      <xdr:row>0</xdr:row>
      <xdr:rowOff>1008000</xdr:rowOff>
    </xdr:to>
    <xdr:grpSp>
      <xdr:nvGrpSpPr>
        <xdr:cNvPr id="26" name="Grupo 9">
          <a:hlinkClick xmlns:r="http://schemas.openxmlformats.org/officeDocument/2006/relationships" r:id="rId20" tooltip="Clique para indicar esta planilha para seus amigos!"/>
        </xdr:cNvPr>
        <xdr:cNvGrpSpPr>
          <a:grpSpLocks/>
        </xdr:cNvGrpSpPr>
      </xdr:nvGrpSpPr>
      <xdr:grpSpPr bwMode="auto">
        <a:xfrm>
          <a:off x="10006299" y="0"/>
          <a:ext cx="1697610" cy="1008000"/>
          <a:chOff x="14464244" y="0"/>
          <a:chExt cx="1775025" cy="1008000"/>
        </a:xfrm>
      </xdr:grpSpPr>
      <xdr:sp macro="" textlink="">
        <xdr:nvSpPr>
          <xdr:cNvPr id="27" name="Retângulo de cantos arredondados 26"/>
          <xdr:cNvSpPr/>
        </xdr:nvSpPr>
        <xdr:spPr>
          <a:xfrm>
            <a:off x="14464247" y="0"/>
            <a:ext cx="1775022" cy="1008000"/>
          </a:xfrm>
          <a:prstGeom prst="roundRect">
            <a:avLst>
              <a:gd name="adj" fmla="val 12821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28" name="Imagem 11" descr="f_logo.png"/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671263" y="50799"/>
            <a:ext cx="568006" cy="576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9" name="Imagem 12" descr="gplus-64.png"/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64244" y="50800"/>
            <a:ext cx="568006" cy="576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" name="Imagem 13" descr="twitter-bird-white-on-blue.png"/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067755" y="63500"/>
            <a:ext cx="568006" cy="576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1" name="Retângulo de cantos arredondados 30"/>
          <xdr:cNvSpPr/>
        </xdr:nvSpPr>
        <xdr:spPr>
          <a:xfrm>
            <a:off x="14730868" y="581025"/>
            <a:ext cx="1349016" cy="342900"/>
          </a:xfrm>
          <a:prstGeom prst="roundRect">
            <a:avLst>
              <a:gd name="adj" fmla="val 7576"/>
            </a:avLst>
          </a:prstGeom>
          <a:solidFill>
            <a:srgbClr val="7030A0"/>
          </a:solidFill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/>
              <a:t>INDIQUE AQUI!</a:t>
            </a:r>
          </a:p>
        </xdr:txBody>
      </xdr:sp>
    </xdr:grpSp>
    <xdr:clientData/>
  </xdr:twoCellAnchor>
  <xdr:twoCellAnchor editAs="absolute">
    <xdr:from>
      <xdr:col>33</xdr:col>
      <xdr:colOff>139986</xdr:colOff>
      <xdr:row>0</xdr:row>
      <xdr:rowOff>0</xdr:rowOff>
    </xdr:from>
    <xdr:to>
      <xdr:col>43</xdr:col>
      <xdr:colOff>133676</xdr:colOff>
      <xdr:row>0</xdr:row>
      <xdr:rowOff>1008000</xdr:rowOff>
    </xdr:to>
    <xdr:grpSp>
      <xdr:nvGrpSpPr>
        <xdr:cNvPr id="32" name="Grupo 19">
          <a:hlinkClick xmlns:r="http://schemas.openxmlformats.org/officeDocument/2006/relationships" r:id="rId24" tooltip="Clique para abrir a Ajuda Online em nosso blog!"/>
        </xdr:cNvPr>
        <xdr:cNvGrpSpPr>
          <a:grpSpLocks/>
        </xdr:cNvGrpSpPr>
      </xdr:nvGrpSpPr>
      <xdr:grpSpPr bwMode="auto">
        <a:xfrm>
          <a:off x="6077236" y="0"/>
          <a:ext cx="1792857" cy="1008000"/>
          <a:chOff x="12103100" y="127000"/>
          <a:chExt cx="1790543" cy="1004860"/>
        </a:xfrm>
      </xdr:grpSpPr>
      <xdr:sp macro="" textlink="">
        <xdr:nvSpPr>
          <xdr:cNvPr id="33" name="Retângulo de cantos arredondados 32"/>
          <xdr:cNvSpPr/>
        </xdr:nvSpPr>
        <xdr:spPr>
          <a:xfrm>
            <a:off x="12103100" y="127000"/>
            <a:ext cx="1790543" cy="100486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34" name="Imagem 21"/>
          <xdr:cNvPicPr>
            <a:picLocks noChangeAspect="1"/>
          </xdr:cNvPicPr>
        </xdr:nvPicPr>
        <xdr:blipFill>
          <a:blip xmlns:r="http://schemas.openxmlformats.org/officeDocument/2006/relationships" r:embed="rId2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132890" y="127000"/>
            <a:ext cx="898070" cy="90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tângulo de cantos arredondados 34"/>
          <xdr:cNvSpPr/>
        </xdr:nvSpPr>
        <xdr:spPr>
          <a:xfrm>
            <a:off x="12513665" y="715710"/>
            <a:ext cx="1360813" cy="341832"/>
          </a:xfrm>
          <a:prstGeom prst="roundRect">
            <a:avLst>
              <a:gd name="adj" fmla="val 7576"/>
            </a:avLst>
          </a:prstGeom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/>
              <a:t>AJUDA</a:t>
            </a:r>
            <a:r>
              <a:rPr lang="pt-BR" sz="1100" baseline="0"/>
              <a:t> ONLINE</a:t>
            </a:r>
            <a:endParaRPr lang="pt-BR" sz="1100"/>
          </a:p>
        </xdr:txBody>
      </xdr:sp>
    </xdr:grpSp>
    <xdr:clientData/>
  </xdr:twoCellAnchor>
  <xdr:twoCellAnchor editAs="absolute">
    <xdr:from>
      <xdr:col>22</xdr:col>
      <xdr:colOff>118820</xdr:colOff>
      <xdr:row>0</xdr:row>
      <xdr:rowOff>0</xdr:rowOff>
    </xdr:from>
    <xdr:to>
      <xdr:col>32</xdr:col>
      <xdr:colOff>112510</xdr:colOff>
      <xdr:row>0</xdr:row>
      <xdr:rowOff>1008000</xdr:rowOff>
    </xdr:to>
    <xdr:grpSp>
      <xdr:nvGrpSpPr>
        <xdr:cNvPr id="36" name="Grupo 27">
          <a:hlinkClick xmlns:r="http://schemas.openxmlformats.org/officeDocument/2006/relationships" r:id="rId26" tooltip="Clique para conferir os Termos de Uso desta planilha!"/>
        </xdr:cNvPr>
        <xdr:cNvGrpSpPr>
          <a:grpSpLocks/>
        </xdr:cNvGrpSpPr>
      </xdr:nvGrpSpPr>
      <xdr:grpSpPr bwMode="auto">
        <a:xfrm>
          <a:off x="4076987" y="0"/>
          <a:ext cx="1792856" cy="1008000"/>
          <a:chOff x="7670800" y="0"/>
          <a:chExt cx="1814260" cy="1004860"/>
        </a:xfrm>
      </xdr:grpSpPr>
      <xdr:sp macro="" textlink="">
        <xdr:nvSpPr>
          <xdr:cNvPr id="37" name="Retângulo de cantos arredondados 36"/>
          <xdr:cNvSpPr/>
        </xdr:nvSpPr>
        <xdr:spPr>
          <a:xfrm>
            <a:off x="7670800" y="0"/>
            <a:ext cx="1814260" cy="100486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38" name="Imagem 29"/>
          <xdr:cNvPicPr>
            <a:picLocks noChangeAspect="1"/>
          </xdr:cNvPicPr>
        </xdr:nvPicPr>
        <xdr:blipFill>
          <a:blip xmlns:r="http://schemas.openxmlformats.org/officeDocument/2006/relationships" r:embed="rId2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670801" y="747"/>
            <a:ext cx="990599" cy="9891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9" name="Retângulo de cantos arredondados 38"/>
          <xdr:cNvSpPr/>
        </xdr:nvSpPr>
        <xdr:spPr>
          <a:xfrm>
            <a:off x="8100064" y="588710"/>
            <a:ext cx="1378838" cy="341832"/>
          </a:xfrm>
          <a:prstGeom prst="roundRect">
            <a:avLst>
              <a:gd name="adj" fmla="val 7576"/>
            </a:avLst>
          </a:prstGeom>
          <a:solidFill>
            <a:schemeClr val="tx2"/>
          </a:solidFill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 baseline="0"/>
              <a:t>TERMOS DE USO</a:t>
            </a:r>
            <a:endParaRPr lang="pt-BR" sz="1100"/>
          </a:p>
        </xdr:txBody>
      </xdr:sp>
    </xdr:grpSp>
    <xdr:clientData/>
  </xdr:twoCellAnchor>
  <xdr:twoCellAnchor editAs="oneCell">
    <xdr:from>
      <xdr:col>44</xdr:col>
      <xdr:colOff>115913</xdr:colOff>
      <xdr:row>0</xdr:row>
      <xdr:rowOff>0</xdr:rowOff>
    </xdr:from>
    <xdr:to>
      <xdr:col>54</xdr:col>
      <xdr:colOff>109602</xdr:colOff>
      <xdr:row>0</xdr:row>
      <xdr:rowOff>1008000</xdr:rowOff>
    </xdr:to>
    <xdr:grpSp>
      <xdr:nvGrpSpPr>
        <xdr:cNvPr id="40" name="Grupo 39">
          <a:hlinkClick xmlns:r="http://schemas.openxmlformats.org/officeDocument/2006/relationships" r:id="rId28" tooltip="Ajude-nos com qualquer valor para continuarmos com este trabalho!"/>
        </xdr:cNvPr>
        <xdr:cNvGrpSpPr/>
      </xdr:nvGrpSpPr>
      <xdr:grpSpPr>
        <a:xfrm>
          <a:off x="8032246" y="0"/>
          <a:ext cx="1792856" cy="1008000"/>
          <a:chOff x="10972800" y="0"/>
          <a:chExt cx="1800000" cy="1008000"/>
        </a:xfrm>
      </xdr:grpSpPr>
      <xdr:sp macro="" textlink="">
        <xdr:nvSpPr>
          <xdr:cNvPr id="41" name="Retângulo de cantos arredondados 40"/>
          <xdr:cNvSpPr/>
        </xdr:nvSpPr>
        <xdr:spPr bwMode="auto">
          <a:xfrm>
            <a:off x="10972800" y="0"/>
            <a:ext cx="1800000" cy="1008000"/>
          </a:xfrm>
          <a:prstGeom prst="roundRect">
            <a:avLst>
              <a:gd name="adj" fmla="val 12821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pic>
        <xdr:nvPicPr>
          <xdr:cNvPr id="42" name="Imagem 41"/>
          <xdr:cNvPicPr>
            <a:picLocks noChangeAspect="1"/>
          </xdr:cNvPicPr>
        </xdr:nvPicPr>
        <xdr:blipFill>
          <a:blip xmlns:r="http://schemas.openxmlformats.org/officeDocument/2006/relationships" r:embed="rId2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001376" y="0"/>
            <a:ext cx="890016" cy="89001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43" name="Retângulo de cantos arredondados 42"/>
          <xdr:cNvSpPr/>
        </xdr:nvSpPr>
        <xdr:spPr bwMode="auto">
          <a:xfrm>
            <a:off x="11319378" y="581025"/>
            <a:ext cx="1368000" cy="342900"/>
          </a:xfrm>
          <a:prstGeom prst="roundRect">
            <a:avLst>
              <a:gd name="adj" fmla="val 7576"/>
            </a:avLst>
          </a:prstGeom>
          <a:solidFill>
            <a:schemeClr val="accent2">
              <a:lumMod val="75000"/>
            </a:schemeClr>
          </a:solidFill>
          <a:ln>
            <a:noFill/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pt-BR" sz="1100"/>
              <a:t>FAÇA</a:t>
            </a:r>
            <a:r>
              <a:rPr lang="pt-BR" sz="1100" baseline="0"/>
              <a:t> UMA DOAÇÃO</a:t>
            </a:r>
            <a:endParaRPr lang="pt-B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0000"/>
  </sheetPr>
  <dimension ref="A1:XFD29"/>
  <sheetViews>
    <sheetView tabSelected="1" zoomScale="80" zoomScaleNormal="80" workbookViewId="0">
      <selection activeCell="D4" sqref="D4"/>
    </sheetView>
  </sheetViews>
  <sheetFormatPr defaultColWidth="0" defaultRowHeight="12.75" zeroHeight="1" x14ac:dyDescent="0.2"/>
  <cols>
    <col min="1" max="1" width="2.7109375" style="1" customWidth="1"/>
    <col min="2" max="2" width="80.7109375" style="1" customWidth="1"/>
    <col min="3" max="3" width="8.7109375" style="1" customWidth="1"/>
    <col min="4" max="5" width="32.7109375" style="1" customWidth="1"/>
    <col min="6" max="6" width="2.7109375" style="1" customWidth="1"/>
    <col min="7" max="11" width="9.140625" style="1" hidden="1" customWidth="1"/>
    <col min="12" max="17" width="0" style="1" hidden="1" customWidth="1"/>
    <col min="18" max="16384" width="9.140625" style="1" hidden="1"/>
  </cols>
  <sheetData>
    <row r="1" spans="1:16384" ht="20.100000000000001" customHeight="1" x14ac:dyDescent="0.2">
      <c r="A1" s="21"/>
      <c r="B1" s="21"/>
      <c r="C1" s="21"/>
      <c r="D1" s="57" t="s">
        <v>66</v>
      </c>
      <c r="E1" s="58"/>
      <c r="F1" s="21"/>
    </row>
    <row r="2" spans="1:16384" ht="20.100000000000001" customHeight="1" x14ac:dyDescent="0.2">
      <c r="A2" s="21"/>
      <c r="B2" s="21"/>
      <c r="C2" s="21"/>
      <c r="D2" s="59"/>
      <c r="E2" s="60"/>
      <c r="F2" s="21"/>
    </row>
    <row r="3" spans="1:16384" ht="20.100000000000001" customHeight="1" x14ac:dyDescent="0.2">
      <c r="A3" s="21"/>
      <c r="B3" s="21"/>
      <c r="C3" s="21"/>
      <c r="D3" s="61"/>
      <c r="E3" s="62"/>
      <c r="F3" s="21"/>
    </row>
    <row r="4" spans="1:16384" ht="20.100000000000001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pans="1:16384" x14ac:dyDescent="0.2">
      <c r="A5" s="21"/>
      <c r="B5" s="21"/>
      <c r="C5" s="21"/>
      <c r="D5" s="21"/>
      <c r="E5" s="21"/>
      <c r="F5" s="21"/>
    </row>
    <row r="6" spans="1:16384" x14ac:dyDescent="0.2">
      <c r="A6" s="21"/>
      <c r="B6" s="52" t="s">
        <v>51</v>
      </c>
      <c r="C6" s="52"/>
      <c r="D6" s="52"/>
      <c r="E6" s="52"/>
      <c r="F6" s="21"/>
    </row>
    <row r="7" spans="1:16384" x14ac:dyDescent="0.2">
      <c r="A7" s="21"/>
      <c r="B7" s="52"/>
      <c r="C7" s="52"/>
      <c r="D7" s="52"/>
      <c r="E7" s="52"/>
      <c r="F7" s="21"/>
    </row>
    <row r="8" spans="1:16384" x14ac:dyDescent="0.2">
      <c r="A8" s="21"/>
      <c r="B8" s="52"/>
      <c r="C8" s="52"/>
      <c r="D8" s="52"/>
      <c r="E8" s="52"/>
      <c r="F8" s="21"/>
    </row>
    <row r="9" spans="1:16384" x14ac:dyDescent="0.2">
      <c r="A9" s="21"/>
      <c r="B9" s="21"/>
      <c r="C9" s="21"/>
      <c r="D9" s="21"/>
      <c r="E9" s="21"/>
      <c r="F9" s="21"/>
    </row>
    <row r="10" spans="1:16384" s="27" customFormat="1" ht="24" customHeight="1" x14ac:dyDescent="0.2">
      <c r="A10" s="28"/>
      <c r="B10" s="32" t="s">
        <v>1</v>
      </c>
      <c r="C10" s="33" t="s">
        <v>2</v>
      </c>
      <c r="D10" s="33" t="s">
        <v>58</v>
      </c>
      <c r="E10" s="34" t="s">
        <v>0</v>
      </c>
      <c r="F10" s="28"/>
    </row>
    <row r="11" spans="1:16384" s="31" customFormat="1" ht="48" customHeight="1" x14ac:dyDescent="0.3">
      <c r="A11" s="29"/>
      <c r="B11" s="30" t="s">
        <v>59</v>
      </c>
      <c r="C11" s="35">
        <v>7</v>
      </c>
      <c r="D11" s="38" t="s">
        <v>45</v>
      </c>
      <c r="E11" s="39" t="s">
        <v>3</v>
      </c>
      <c r="F11" s="29"/>
    </row>
    <row r="12" spans="1:16384" s="31" customFormat="1" ht="48" customHeight="1" x14ac:dyDescent="0.3">
      <c r="A12" s="29"/>
      <c r="B12" s="30" t="s">
        <v>60</v>
      </c>
      <c r="C12" s="35">
        <v>4</v>
      </c>
      <c r="D12" s="38" t="s">
        <v>3</v>
      </c>
      <c r="E12" s="39" t="s">
        <v>43</v>
      </c>
      <c r="F12" s="29"/>
    </row>
    <row r="13" spans="1:16384" s="31" customFormat="1" ht="48" customHeight="1" x14ac:dyDescent="0.3">
      <c r="A13" s="29"/>
      <c r="B13" s="30" t="s">
        <v>61</v>
      </c>
      <c r="C13" s="35">
        <v>5</v>
      </c>
      <c r="D13" s="38" t="s">
        <v>46</v>
      </c>
      <c r="E13" s="39" t="s">
        <v>47</v>
      </c>
      <c r="F13" s="29"/>
    </row>
    <row r="14" spans="1:16384" s="31" customFormat="1" ht="48" customHeight="1" x14ac:dyDescent="0.3">
      <c r="A14" s="29"/>
      <c r="B14" s="30" t="s">
        <v>62</v>
      </c>
      <c r="C14" s="36">
        <v>0.25</v>
      </c>
      <c r="D14" s="38" t="s">
        <v>44</v>
      </c>
      <c r="E14" s="39" t="s">
        <v>3</v>
      </c>
      <c r="F14" s="29"/>
    </row>
    <row r="15" spans="1:16384" s="31" customFormat="1" ht="48" customHeight="1" x14ac:dyDescent="0.3">
      <c r="A15" s="29"/>
      <c r="B15" s="30" t="s">
        <v>63</v>
      </c>
      <c r="C15" s="37">
        <v>1</v>
      </c>
      <c r="D15" s="53"/>
      <c r="E15" s="54"/>
      <c r="F15" s="29"/>
    </row>
    <row r="16" spans="1:16384" s="31" customFormat="1" ht="48" customHeight="1" x14ac:dyDescent="0.3">
      <c r="A16" s="29"/>
      <c r="B16" s="30" t="s">
        <v>64</v>
      </c>
      <c r="C16" s="37">
        <v>4</v>
      </c>
      <c r="D16" s="55"/>
      <c r="E16" s="56"/>
      <c r="F16" s="29"/>
    </row>
    <row r="17" spans="1:6" x14ac:dyDescent="0.2">
      <c r="A17" s="21"/>
      <c r="B17" s="21"/>
      <c r="C17" s="21"/>
      <c r="D17" s="21"/>
      <c r="E17" s="21"/>
      <c r="F17" s="21"/>
    </row>
    <row r="18" spans="1:6" hidden="1" x14ac:dyDescent="0.2"/>
    <row r="19" spans="1:6" hidden="1" x14ac:dyDescent="0.2"/>
    <row r="20" spans="1:6" hidden="1" x14ac:dyDescent="0.2"/>
    <row r="21" spans="1:6" hidden="1" x14ac:dyDescent="0.2"/>
    <row r="22" spans="1:6" hidden="1" x14ac:dyDescent="0.2"/>
    <row r="23" spans="1:6" hidden="1" x14ac:dyDescent="0.2"/>
    <row r="24" spans="1:6" hidden="1" x14ac:dyDescent="0.2"/>
    <row r="25" spans="1:6" hidden="1" x14ac:dyDescent="0.2"/>
    <row r="26" spans="1:6" hidden="1" x14ac:dyDescent="0.2"/>
    <row r="27" spans="1:6" hidden="1" x14ac:dyDescent="0.2"/>
    <row r="28" spans="1:6" hidden="1" x14ac:dyDescent="0.2"/>
    <row r="29" spans="1:6" hidden="1" x14ac:dyDescent="0.2"/>
  </sheetData>
  <sheetProtection sheet="1" objects="1" scenarios="1"/>
  <mergeCells count="3">
    <mergeCell ref="B6:E8"/>
    <mergeCell ref="D15:E16"/>
    <mergeCell ref="D1:E3"/>
  </mergeCells>
  <dataValidations count="1">
    <dataValidation allowBlank="1" sqref="B6 D10:D15 B10:C1048576 E10:E14 D17:E1048576 A1:A1048576 C6:E8 B8 F1:XFD3 F5:XFD1048576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70C0"/>
    <pageSetUpPr fitToPage="1"/>
  </sheetPr>
  <dimension ref="A1:IY200"/>
  <sheetViews>
    <sheetView zoomScale="90" zoomScaleNormal="90" zoomScaleSheetLayoutView="90" workbookViewId="0">
      <selection activeCell="Q2" sqref="Q2"/>
    </sheetView>
  </sheetViews>
  <sheetFormatPr defaultColWidth="0" defaultRowHeight="12.75" zeroHeight="1" x14ac:dyDescent="0.2"/>
  <cols>
    <col min="1" max="66" width="2.7109375" style="2" customWidth="1"/>
    <col min="67" max="69" width="2.7109375" style="2" hidden="1"/>
    <col min="70" max="70" width="19.28515625" style="2" hidden="1"/>
    <col min="71" max="75" width="13.5703125" style="2" hidden="1"/>
    <col min="76" max="76" width="26" style="2" hidden="1"/>
    <col min="77" max="77" width="14.85546875" style="2" hidden="1"/>
    <col min="78" max="78" width="11.7109375" style="2" hidden="1"/>
    <col min="79" max="79" width="4.42578125" style="2" hidden="1"/>
    <col min="80" max="89" width="8.7109375" style="2" hidden="1"/>
    <col min="90" max="16384" width="9.140625" style="2" hidden="1"/>
  </cols>
  <sheetData>
    <row r="1" spans="1:259" ht="9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</row>
    <row r="2" spans="1:259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1"/>
      <c r="BO2" s="10"/>
    </row>
    <row r="3" spans="1:259" ht="12.75" customHeight="1" x14ac:dyDescent="0.2">
      <c r="A3" s="40"/>
      <c r="B3" s="184" t="s">
        <v>49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  <c r="N3" s="83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5"/>
      <c r="AV3" s="76" t="s">
        <v>4</v>
      </c>
      <c r="AW3" s="77"/>
      <c r="AX3" s="77"/>
      <c r="AY3" s="77"/>
      <c r="AZ3" s="77"/>
      <c r="BA3" s="77"/>
      <c r="BB3" s="77"/>
      <c r="BC3" s="77"/>
      <c r="BD3" s="77"/>
      <c r="BE3" s="77"/>
      <c r="BF3" s="78"/>
      <c r="BG3" s="70"/>
      <c r="BH3" s="71"/>
      <c r="BI3" s="71"/>
      <c r="BJ3" s="71"/>
      <c r="BK3" s="71"/>
      <c r="BL3" s="71"/>
      <c r="BM3" s="72"/>
      <c r="BN3" s="41"/>
      <c r="BO3" s="10"/>
    </row>
    <row r="4" spans="1:259" ht="12.75" customHeight="1" x14ac:dyDescent="0.2">
      <c r="A4" s="40"/>
      <c r="B4" s="187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9"/>
      <c r="N4" s="86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79"/>
      <c r="AW4" s="80"/>
      <c r="AX4" s="80"/>
      <c r="AY4" s="80"/>
      <c r="AZ4" s="80"/>
      <c r="BA4" s="80"/>
      <c r="BB4" s="80"/>
      <c r="BC4" s="80"/>
      <c r="BD4" s="80"/>
      <c r="BE4" s="80"/>
      <c r="BF4" s="81"/>
      <c r="BG4" s="73"/>
      <c r="BH4" s="74"/>
      <c r="BI4" s="74"/>
      <c r="BJ4" s="74"/>
      <c r="BK4" s="74"/>
      <c r="BL4" s="74"/>
      <c r="BM4" s="75"/>
      <c r="BN4" s="41"/>
      <c r="BO4" s="10"/>
    </row>
    <row r="5" spans="1:259" ht="12.75" customHeight="1" x14ac:dyDescent="0.2">
      <c r="A5" s="40"/>
      <c r="B5" s="184" t="s">
        <v>50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  <c r="N5" s="83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5"/>
      <c r="AP5" s="76" t="s">
        <v>57</v>
      </c>
      <c r="AQ5" s="77"/>
      <c r="AR5" s="77"/>
      <c r="AS5" s="77"/>
      <c r="AT5" s="77"/>
      <c r="AU5" s="78"/>
      <c r="AV5" s="82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2"/>
      <c r="BN5" s="41"/>
      <c r="BO5" s="10"/>
    </row>
    <row r="6" spans="1:259" ht="12.75" customHeight="1" x14ac:dyDescent="0.2">
      <c r="A6" s="40"/>
      <c r="B6" s="18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  <c r="N6" s="86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8"/>
      <c r="AP6" s="79"/>
      <c r="AQ6" s="80"/>
      <c r="AR6" s="80"/>
      <c r="AS6" s="80"/>
      <c r="AT6" s="80"/>
      <c r="AU6" s="81"/>
      <c r="AV6" s="73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5"/>
      <c r="BN6" s="41"/>
      <c r="BO6" s="10"/>
    </row>
    <row r="7" spans="1:259" ht="12.75" customHeight="1" x14ac:dyDescent="0.2">
      <c r="A7" s="4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10"/>
    </row>
    <row r="8" spans="1:259" ht="12.75" customHeight="1" x14ac:dyDescent="0.2">
      <c r="A8" s="4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10"/>
    </row>
    <row r="9" spans="1:259" ht="12.75" customHeight="1" x14ac:dyDescent="0.2">
      <c r="A9" s="40"/>
      <c r="B9" s="96" t="s">
        <v>52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41"/>
      <c r="BO9" s="10"/>
    </row>
    <row r="10" spans="1:259" ht="12.75" customHeight="1" x14ac:dyDescent="0.2">
      <c r="A10" s="40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41"/>
      <c r="BO10" s="10"/>
    </row>
    <row r="11" spans="1:259" ht="12.75" customHeight="1" x14ac:dyDescent="0.2">
      <c r="A11" s="40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41"/>
      <c r="BO11" s="10"/>
      <c r="CF11" s="97" t="str">
        <f>IF(NOT(ISERR(#REF!)),#REF!,"")&amp;IF(NOT(ISERR(#REF!)),#REF!,"")&amp;IF(NOT(ISERR(#REF!)),#REF!,"")&amp;IF(NOT(ISERR(#REF!)),#REF!,"")&amp;IF(NOT(ISERR(#REF!)),#REF!,"")</f>
        <v/>
      </c>
      <c r="CG11" s="97"/>
      <c r="CH11" s="97"/>
      <c r="CI11" s="97"/>
      <c r="CJ11" s="97"/>
    </row>
    <row r="12" spans="1:259" s="6" customFormat="1" ht="96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6"/>
      <c r="S12" s="26"/>
      <c r="T12" s="26"/>
      <c r="U12" s="98" t="s">
        <v>5</v>
      </c>
      <c r="V12" s="98"/>
      <c r="W12" s="98"/>
      <c r="X12" s="98" t="s">
        <v>6</v>
      </c>
      <c r="Y12" s="98"/>
      <c r="Z12" s="98"/>
      <c r="AA12" s="98" t="s">
        <v>26</v>
      </c>
      <c r="AB12" s="98"/>
      <c r="AC12" s="98"/>
      <c r="AD12" s="166" t="s">
        <v>42</v>
      </c>
      <c r="AE12" s="166"/>
      <c r="AF12" s="166"/>
      <c r="AG12" s="165" t="s">
        <v>7</v>
      </c>
      <c r="AH12" s="165"/>
      <c r="AI12" s="165"/>
      <c r="AJ12" s="99" t="s">
        <v>8</v>
      </c>
      <c r="AK12" s="99"/>
      <c r="AL12" s="99"/>
      <c r="AM12" s="100" t="s">
        <v>9</v>
      </c>
      <c r="AN12" s="100"/>
      <c r="AO12" s="100"/>
      <c r="AP12" s="164" t="s">
        <v>10</v>
      </c>
      <c r="AQ12" s="164"/>
      <c r="AR12" s="164"/>
      <c r="AS12" s="165" t="s">
        <v>11</v>
      </c>
      <c r="AT12" s="165"/>
      <c r="AU12" s="165"/>
      <c r="AV12" s="98" t="s">
        <v>12</v>
      </c>
      <c r="AW12" s="98"/>
      <c r="AX12" s="98"/>
      <c r="AY12" s="98" t="s">
        <v>13</v>
      </c>
      <c r="AZ12" s="98"/>
      <c r="BA12" s="98"/>
      <c r="BB12" s="26"/>
      <c r="BC12" s="26"/>
      <c r="BD12" s="26"/>
      <c r="BE12" s="26"/>
      <c r="BF12" s="26"/>
      <c r="BG12" s="26"/>
      <c r="BH12" s="26"/>
      <c r="BI12" s="24"/>
      <c r="BJ12" s="24"/>
      <c r="BK12" s="24"/>
      <c r="BL12" s="24"/>
      <c r="BM12" s="24"/>
      <c r="BN12" s="19"/>
      <c r="BO12" s="16"/>
    </row>
    <row r="13" spans="1:259" ht="5.65" customHeight="1" x14ac:dyDescent="0.2">
      <c r="A13" s="23"/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157"/>
      <c r="T13" s="157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6"/>
      <c r="BJ13" s="136"/>
      <c r="BK13" s="136"/>
      <c r="BL13" s="136"/>
      <c r="BM13" s="137"/>
      <c r="BN13" s="8"/>
      <c r="BO13" s="9"/>
      <c r="BP13" s="3"/>
      <c r="BQ13" s="3"/>
      <c r="BR13" s="11"/>
      <c r="BS13" s="11"/>
      <c r="BT13" s="11"/>
      <c r="BU13" s="11"/>
      <c r="BV13" s="11"/>
      <c r="BW13" s="11"/>
      <c r="BX13" s="11"/>
      <c r="BY13" s="9"/>
      <c r="BZ13" s="9"/>
      <c r="CA13" s="7"/>
      <c r="CC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9" s="13" customFormat="1" ht="24.95" customHeight="1" x14ac:dyDescent="0.25">
      <c r="A14" s="25"/>
      <c r="B14" s="158" t="s">
        <v>14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60"/>
      <c r="U14" s="153" t="s">
        <v>15</v>
      </c>
      <c r="V14" s="153"/>
      <c r="W14" s="153"/>
      <c r="X14" s="153" t="s">
        <v>16</v>
      </c>
      <c r="Y14" s="153"/>
      <c r="Z14" s="153"/>
      <c r="AA14" s="153" t="s">
        <v>27</v>
      </c>
      <c r="AB14" s="153"/>
      <c r="AC14" s="153"/>
      <c r="AD14" s="177" t="s">
        <v>29</v>
      </c>
      <c r="AE14" s="177"/>
      <c r="AF14" s="177"/>
      <c r="AG14" s="178" t="s">
        <v>17</v>
      </c>
      <c r="AH14" s="178"/>
      <c r="AI14" s="178"/>
      <c r="AJ14" s="173" t="s">
        <v>18</v>
      </c>
      <c r="AK14" s="173"/>
      <c r="AL14" s="173"/>
      <c r="AM14" s="174" t="s">
        <v>19</v>
      </c>
      <c r="AN14" s="174"/>
      <c r="AO14" s="174"/>
      <c r="AP14" s="175" t="s">
        <v>20</v>
      </c>
      <c r="AQ14" s="175"/>
      <c r="AR14" s="175"/>
      <c r="AS14" s="176" t="s">
        <v>21</v>
      </c>
      <c r="AT14" s="176"/>
      <c r="AU14" s="176"/>
      <c r="AV14" s="153" t="s">
        <v>22</v>
      </c>
      <c r="AW14" s="153"/>
      <c r="AX14" s="153"/>
      <c r="AY14" s="153" t="s">
        <v>23</v>
      </c>
      <c r="AZ14" s="153"/>
      <c r="BA14" s="153"/>
      <c r="BB14" s="138" t="s">
        <v>24</v>
      </c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40"/>
      <c r="BN14" s="20"/>
      <c r="BO14" s="12"/>
      <c r="BR14" s="51">
        <f>CONFIGURAÇÕES!C14</f>
        <v>0.25</v>
      </c>
      <c r="BS14" s="14" t="s">
        <v>53</v>
      </c>
      <c r="BT14" s="50">
        <f>CONFIGURAÇÕES!$C13</f>
        <v>5</v>
      </c>
      <c r="BU14" s="14" t="s">
        <v>54</v>
      </c>
      <c r="BV14" s="50">
        <f>CONFIGURAÇÕES!$C11</f>
        <v>7</v>
      </c>
      <c r="BW14" s="50">
        <f>CONFIGURAÇÕES!$C12</f>
        <v>4</v>
      </c>
      <c r="BX14" s="14" t="s">
        <v>55</v>
      </c>
      <c r="BY14" s="12" t="s">
        <v>48</v>
      </c>
      <c r="BZ14" s="12" t="s">
        <v>56</v>
      </c>
      <c r="CA14" s="15"/>
    </row>
    <row r="15" spans="1:259" ht="5.65" customHeight="1" x14ac:dyDescent="0.2">
      <c r="A15" s="23"/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54"/>
      <c r="V15" s="154"/>
      <c r="W15" s="154"/>
      <c r="X15" s="154"/>
      <c r="Y15" s="154"/>
      <c r="Z15" s="154"/>
      <c r="AA15" s="154"/>
      <c r="AB15" s="154"/>
      <c r="AC15" s="154"/>
      <c r="AD15" s="167"/>
      <c r="AE15" s="167"/>
      <c r="AF15" s="167"/>
      <c r="AG15" s="168"/>
      <c r="AH15" s="168"/>
      <c r="AI15" s="168"/>
      <c r="AJ15" s="169"/>
      <c r="AK15" s="169"/>
      <c r="AL15" s="169"/>
      <c r="AM15" s="170"/>
      <c r="AN15" s="170"/>
      <c r="AO15" s="170"/>
      <c r="AP15" s="171"/>
      <c r="AQ15" s="171"/>
      <c r="AR15" s="171"/>
      <c r="AS15" s="172"/>
      <c r="AT15" s="172"/>
      <c r="AU15" s="172"/>
      <c r="AV15" s="154"/>
      <c r="AW15" s="154"/>
      <c r="AX15" s="154"/>
      <c r="AY15" s="154"/>
      <c r="AZ15" s="154"/>
      <c r="BA15" s="154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2"/>
      <c r="BN15" s="8"/>
      <c r="BO15" s="9"/>
      <c r="BP15" s="3"/>
      <c r="BQ15" s="3"/>
      <c r="BR15" s="11"/>
      <c r="BS15" s="11"/>
      <c r="BT15" s="11"/>
      <c r="BU15" s="11"/>
      <c r="BV15" s="11"/>
      <c r="BW15" s="11"/>
      <c r="BX15" s="11"/>
      <c r="BY15" s="9"/>
      <c r="BZ15" s="9"/>
      <c r="CA15" s="7"/>
      <c r="CC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9" s="13" customFormat="1" ht="27.95" customHeight="1" x14ac:dyDescent="0.25">
      <c r="A16" s="143">
        <v>1</v>
      </c>
      <c r="B16" s="143"/>
      <c r="C16" s="144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  <c r="U16" s="147"/>
      <c r="V16" s="148"/>
      <c r="W16" s="148"/>
      <c r="X16" s="148"/>
      <c r="Y16" s="148"/>
      <c r="Z16" s="150"/>
      <c r="AA16" s="151" t="str">
        <f t="shared" ref="AA16:AA31" si="0">IF(SUM(U16)&gt;0,1-X16/U16,"")</f>
        <v/>
      </c>
      <c r="AB16" s="152"/>
      <c r="AC16" s="152"/>
      <c r="AD16" s="149"/>
      <c r="AE16" s="92"/>
      <c r="AF16" s="92"/>
      <c r="AG16" s="149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3"/>
      <c r="AS16" s="94" t="str">
        <f>IF(BX16,TEXT(ROUND(AVERAGE(AG16,AJ16,AM16,AP16),CONFIGURAÇÕES!$C$15),"0"&amp;IF(CONFIGURAÇÕES!$C$15&gt;0,",","")&amp;REPT("0",CONFIGURAÇÕES!$C$15)),"-")</f>
        <v>-</v>
      </c>
      <c r="AT16" s="95"/>
      <c r="AU16" s="95"/>
      <c r="AV16" s="149"/>
      <c r="AW16" s="92"/>
      <c r="AX16" s="92"/>
      <c r="AY16" s="94" t="str">
        <f>IF(AND(BU16:BW16,NOT(BR16)),AS16,IF(AV16&lt;&gt;"",TEXT(ROUND(AVERAGE(VALUE(AS16),AV16),CONFIGURAÇÕES!$C$15),"0"&amp;IF(CONFIGURAÇÕES!$C$15&gt;0,",","")&amp;REPT("0",CONFIGURAÇÕES!$C$15)),"-"))</f>
        <v>-</v>
      </c>
      <c r="AZ16" s="95"/>
      <c r="BA16" s="95"/>
      <c r="BB16" s="89" t="str">
        <f>IF(C16&lt;&gt;"",IF(BR16,CONFIGURAÇÕES!$D$14,IF(AND(BU16,NOT(BW16)),CONFIGURAÇÕES!$E$12,IF(BS16,IF(AND(BV16),CONFIGURAÇÕES!$D$11,IF(AND(BT16),CONFIGURAÇÕES!$D$13,CONFIGURAÇÕES!$E$13)),IF(BU16,"(NOTA AF DEVE SER &gt;= "&amp;2*CONFIGURAÇÕES!$C$13-BOLETIM!AS16&amp;")",IF(COUNTIF(AG16:AR16,"&lt;&gt;")&lt;CONFIGURAÇÕES!$C$16,"(FALTA PELO MENOS UMA NOTA)","-"))))),"")</f>
        <v/>
      </c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20"/>
      <c r="BO16" s="12"/>
      <c r="BR16" s="14" t="b">
        <f>AND(ISNUMBER(X16),AA16&lt;1-CONFIGURAÇÕES!C$14)</f>
        <v>0</v>
      </c>
      <c r="BS16" s="14" t="b">
        <f>AND(AY16&lt;&gt;"-",BU16)</f>
        <v>0</v>
      </c>
      <c r="BT16" s="14" t="b">
        <f>AND(BS16,VALUE(SUBSTITUTE($AY16,"-","0"))&gt;=CONFIGURAÇÕES!C$13)</f>
        <v>0</v>
      </c>
      <c r="BU16" s="14" t="b">
        <f>$AS16&lt;&gt;"-"</f>
        <v>0</v>
      </c>
      <c r="BV16" s="14" t="b">
        <f>AND(VALUE(SUBSTITUTE($AS16,"-","0"))&gt;=CONFIGURAÇÕES!$C$11,BU16)</f>
        <v>0</v>
      </c>
      <c r="BW16" s="14" t="b">
        <f>AND(BU16,VALUE(SUBSTITUTE($AS16,"-","0"))&gt;=CONFIGURAÇÕES!$C$12)</f>
        <v>0</v>
      </c>
      <c r="BX16" s="14" t="b">
        <f>OR(AND(ISNUMBER(AG16),ISNUMBER(AJ16),ISNUMBER(AM16),ISNUMBER(AP16),CONFIGURAÇÕES!$C$16=4),AND(ISNUMBER(AG16),ISNUMBER(AJ16),ISNUMBER(AM16),CONFIGURAÇÕES!$C$16=3),AND(ISNUMBER(AG16),ISNUMBER(AJ16),CONFIGURAÇÕES!$C$16=2),AND(ISNUMBER(AG16),CONFIGURAÇÕES!$C$16=1))</f>
        <v>0</v>
      </c>
      <c r="BY16" s="12" t="b">
        <f>OR($BB16=CONFIGURAÇÕES!$E$12,$BB16=CONFIGURAÇÕES!$E$13,$BB16=CONFIGURAÇÕES!$D$14)</f>
        <v>0</v>
      </c>
      <c r="BZ16" s="12" t="b">
        <f>OR(MID($BB16,1,6)="(FALTA",MID($BB16,1,5)="(NOTA")</f>
        <v>0</v>
      </c>
      <c r="CA16" s="15"/>
      <c r="CB16" s="13" t="str">
        <f>IF(ISNUMBER(VALUE(AY16)),VALUE(AY16),"")</f>
        <v/>
      </c>
      <c r="IS16" s="4"/>
      <c r="IT16" s="4"/>
      <c r="IU16" s="4"/>
      <c r="IV16" s="4"/>
      <c r="IW16" s="4"/>
      <c r="IX16" s="4"/>
      <c r="IY16" s="4"/>
    </row>
    <row r="17" spans="1:259" s="13" customFormat="1" ht="27.95" customHeight="1" x14ac:dyDescent="0.25">
      <c r="A17" s="143">
        <v>2</v>
      </c>
      <c r="B17" s="143"/>
      <c r="C17" s="144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6"/>
      <c r="U17" s="147"/>
      <c r="V17" s="148"/>
      <c r="W17" s="148"/>
      <c r="X17" s="148"/>
      <c r="Y17" s="148"/>
      <c r="Z17" s="150"/>
      <c r="AA17" s="151" t="str">
        <f t="shared" si="0"/>
        <v/>
      </c>
      <c r="AB17" s="152"/>
      <c r="AC17" s="152"/>
      <c r="AD17" s="149"/>
      <c r="AE17" s="92"/>
      <c r="AF17" s="92"/>
      <c r="AG17" s="149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3"/>
      <c r="AS17" s="94" t="str">
        <f>IF(BX17,TEXT(ROUND(AVERAGE(AG17,AJ17,AM17,AP17),CONFIGURAÇÕES!$C$15),"0"&amp;IF(CONFIGURAÇÕES!$C$15&gt;0,",","")&amp;REPT("0",CONFIGURAÇÕES!$C$15)),"-")</f>
        <v>-</v>
      </c>
      <c r="AT17" s="95"/>
      <c r="AU17" s="95"/>
      <c r="AV17" s="149"/>
      <c r="AW17" s="92"/>
      <c r="AX17" s="92"/>
      <c r="AY17" s="94" t="str">
        <f>IF(AND(BU17:BW17,NOT(BR17)),AS17,IF(AV17&lt;&gt;"",TEXT(ROUND(AVERAGE(VALUE(AS17),AV17),CONFIGURAÇÕES!$C$15),"0"&amp;IF(CONFIGURAÇÕES!$C$15&gt;0,",","")&amp;REPT("0",CONFIGURAÇÕES!$C$15)),"-"))</f>
        <v>-</v>
      </c>
      <c r="AZ17" s="95"/>
      <c r="BA17" s="95"/>
      <c r="BB17" s="89" t="str">
        <f>IF(C17&lt;&gt;"",IF(BR17,CONFIGURAÇÕES!$D$14,IF(AND(BU17,NOT(BW17)),CONFIGURAÇÕES!$E$12,IF(BS17,IF(AND(BV17),CONFIGURAÇÕES!$D$11,IF(AND(BT17),CONFIGURAÇÕES!$D$13,CONFIGURAÇÕES!$E$13)),IF(BU17,"(NOTA AF DEVE SER &gt;= "&amp;2*CONFIGURAÇÕES!$C$13-BOLETIM!AS17&amp;")",IF(COUNTIF(AG17:AR17,"&lt;&gt;")&lt;CONFIGURAÇÕES!$C$16,"(FALTA PELO MENOS UMA NOTA)","-"))))),"")</f>
        <v/>
      </c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20"/>
      <c r="BO17" s="12"/>
      <c r="BR17" s="14" t="b">
        <f>AND(ISNUMBER(X17),AA17&lt;1-CONFIGURAÇÕES!C$14)</f>
        <v>0</v>
      </c>
      <c r="BS17" s="14" t="b">
        <f t="shared" ref="BS17:BS31" si="1">AND(AY17&lt;&gt;"-",BU17)</f>
        <v>0</v>
      </c>
      <c r="BT17" s="14" t="b">
        <f>AND(BS17,VALUE(SUBSTITUTE($AY17,"-","0"))&gt;=CONFIGURAÇÕES!C$13)</f>
        <v>0</v>
      </c>
      <c r="BU17" s="14" t="b">
        <f t="shared" ref="BU17:BU31" si="2">$AS17&lt;&gt;"-"</f>
        <v>0</v>
      </c>
      <c r="BV17" s="14" t="b">
        <f>AND(VALUE(SUBSTITUTE($AS17,"-","0"))&gt;=CONFIGURAÇÕES!$C$11,BU17)</f>
        <v>0</v>
      </c>
      <c r="BW17" s="14" t="b">
        <f>AND(BU17,VALUE(SUBSTITUTE($AS17,"-","0"))&gt;=CONFIGURAÇÕES!$C$12)</f>
        <v>0</v>
      </c>
      <c r="BX17" s="14" t="b">
        <f>OR(AND(ISNUMBER(AG17),ISNUMBER(AJ17),ISNUMBER(AM17),ISNUMBER(AP17),CONFIGURAÇÕES!$C$16=4),AND(ISNUMBER(AG17),ISNUMBER(AJ17),ISNUMBER(AM17),CONFIGURAÇÕES!$C$16=3),AND(ISNUMBER(AG17),ISNUMBER(AJ17),CONFIGURAÇÕES!$C$16=2),AND(ISNUMBER(AG17),CONFIGURAÇÕES!$C$16=1))</f>
        <v>0</v>
      </c>
      <c r="BY17" s="12" t="b">
        <f>OR($BB17=CONFIGURAÇÕES!$E$12,$BB17=CONFIGURAÇÕES!$E$13,$BB17=CONFIGURAÇÕES!$D$14)</f>
        <v>0</v>
      </c>
      <c r="BZ17" s="12" t="b">
        <f t="shared" ref="BZ17:BZ31" si="3">OR(MID($BB17,1,6)="(FALTA",MID($BB17,1,5)="(NOTA")</f>
        <v>0</v>
      </c>
      <c r="CA17" s="15"/>
      <c r="CB17" s="13" t="str">
        <f t="shared" ref="CB17:CB31" si="4">IF(ISNUMBER(VALUE(AY17)),VALUE(AY17),"")</f>
        <v/>
      </c>
      <c r="IS17" s="4"/>
      <c r="IT17" s="4"/>
      <c r="IU17" s="4"/>
      <c r="IV17" s="4"/>
      <c r="IW17" s="4"/>
      <c r="IX17" s="4"/>
      <c r="IY17" s="4"/>
    </row>
    <row r="18" spans="1:259" s="13" customFormat="1" ht="27.95" customHeight="1" x14ac:dyDescent="0.25">
      <c r="A18" s="143">
        <v>3</v>
      </c>
      <c r="B18" s="143"/>
      <c r="C18" s="144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6"/>
      <c r="U18" s="147"/>
      <c r="V18" s="148"/>
      <c r="W18" s="148"/>
      <c r="X18" s="148"/>
      <c r="Y18" s="148"/>
      <c r="Z18" s="150"/>
      <c r="AA18" s="151" t="str">
        <f t="shared" si="0"/>
        <v/>
      </c>
      <c r="AB18" s="152"/>
      <c r="AC18" s="152"/>
      <c r="AD18" s="149"/>
      <c r="AE18" s="92"/>
      <c r="AF18" s="92"/>
      <c r="AG18" s="149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3"/>
      <c r="AS18" s="94" t="str">
        <f>IF(BX18,TEXT(ROUND(AVERAGE(AG18,AJ18,AM18,AP18),CONFIGURAÇÕES!$C$15),"0"&amp;IF(CONFIGURAÇÕES!$C$15&gt;0,",","")&amp;REPT("0",CONFIGURAÇÕES!$C$15)),"-")</f>
        <v>-</v>
      </c>
      <c r="AT18" s="95"/>
      <c r="AU18" s="95"/>
      <c r="AV18" s="149"/>
      <c r="AW18" s="92"/>
      <c r="AX18" s="92"/>
      <c r="AY18" s="94" t="str">
        <f>IF(AND(BU18:BW18,NOT(BR18)),AS18,IF(AV18&lt;&gt;"",TEXT(ROUND(AVERAGE(VALUE(AS18),AV18),CONFIGURAÇÕES!$C$15),"0"&amp;IF(CONFIGURAÇÕES!$C$15&gt;0,",","")&amp;REPT("0",CONFIGURAÇÕES!$C$15)),"-"))</f>
        <v>-</v>
      </c>
      <c r="AZ18" s="95"/>
      <c r="BA18" s="95"/>
      <c r="BB18" s="89" t="str">
        <f>IF(C18&lt;&gt;"",IF(BR18,CONFIGURAÇÕES!$D$14,IF(AND(BU18,NOT(BW18)),CONFIGURAÇÕES!$E$12,IF(BS18,IF(AND(BV18),CONFIGURAÇÕES!$D$11,IF(AND(BT18),CONFIGURAÇÕES!$D$13,CONFIGURAÇÕES!$E$13)),IF(BU18,"(NOTA AF DEVE SER &gt;= "&amp;2*CONFIGURAÇÕES!$C$13-BOLETIM!AS18&amp;")",IF(COUNTIF(AG18:AR18,"&lt;&gt;")&lt;CONFIGURAÇÕES!$C$16,"(FALTA PELO MENOS UMA NOTA)","-"))))),"")</f>
        <v/>
      </c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1"/>
      <c r="BN18" s="20"/>
      <c r="BO18" s="12"/>
      <c r="BR18" s="14" t="b">
        <f>AND(ISNUMBER(X18),AA18&lt;1-CONFIGURAÇÕES!C$14)</f>
        <v>0</v>
      </c>
      <c r="BS18" s="14" t="b">
        <f t="shared" si="1"/>
        <v>0</v>
      </c>
      <c r="BT18" s="14" t="b">
        <f>AND(BS18,VALUE(SUBSTITUTE($AY18,"-","0"))&gt;=CONFIGURAÇÕES!C$13)</f>
        <v>0</v>
      </c>
      <c r="BU18" s="14" t="b">
        <f t="shared" si="2"/>
        <v>0</v>
      </c>
      <c r="BV18" s="14" t="b">
        <f>AND(VALUE(SUBSTITUTE($AS18,"-","0"))&gt;=CONFIGURAÇÕES!$C$11,BU18)</f>
        <v>0</v>
      </c>
      <c r="BW18" s="14" t="b">
        <f>AND(BU18,VALUE(SUBSTITUTE($AS18,"-","0"))&gt;=CONFIGURAÇÕES!$C$12)</f>
        <v>0</v>
      </c>
      <c r="BX18" s="14" t="b">
        <f>OR(AND(ISNUMBER(AG18),ISNUMBER(AJ18),ISNUMBER(AM18),ISNUMBER(AP18),CONFIGURAÇÕES!$C$16=4),AND(ISNUMBER(AG18),ISNUMBER(AJ18),ISNUMBER(AM18),CONFIGURAÇÕES!$C$16=3),AND(ISNUMBER(AG18),ISNUMBER(AJ18),CONFIGURAÇÕES!$C$16=2),AND(ISNUMBER(AG18),CONFIGURAÇÕES!$C$16=1))</f>
        <v>0</v>
      </c>
      <c r="BY18" s="12" t="b">
        <f>OR($BB18=CONFIGURAÇÕES!$E$12,$BB18=CONFIGURAÇÕES!$E$13,$BB18=CONFIGURAÇÕES!$D$14)</f>
        <v>0</v>
      </c>
      <c r="BZ18" s="12" t="b">
        <f t="shared" si="3"/>
        <v>0</v>
      </c>
      <c r="CA18" s="15"/>
      <c r="CB18" s="13" t="str">
        <f t="shared" si="4"/>
        <v/>
      </c>
      <c r="IS18" s="4"/>
      <c r="IT18" s="4"/>
      <c r="IU18" s="4"/>
      <c r="IV18" s="4"/>
      <c r="IW18" s="4"/>
      <c r="IX18" s="4"/>
      <c r="IY18" s="4"/>
    </row>
    <row r="19" spans="1:259" s="13" customFormat="1" ht="27.95" customHeight="1" x14ac:dyDescent="0.25">
      <c r="A19" s="143">
        <v>4</v>
      </c>
      <c r="B19" s="143"/>
      <c r="C19" s="144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6"/>
      <c r="U19" s="147"/>
      <c r="V19" s="148"/>
      <c r="W19" s="148"/>
      <c r="X19" s="148"/>
      <c r="Y19" s="148"/>
      <c r="Z19" s="150"/>
      <c r="AA19" s="151" t="str">
        <f t="shared" si="0"/>
        <v/>
      </c>
      <c r="AB19" s="152"/>
      <c r="AC19" s="152"/>
      <c r="AD19" s="149"/>
      <c r="AE19" s="92"/>
      <c r="AF19" s="92"/>
      <c r="AG19" s="149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3"/>
      <c r="AS19" s="94" t="str">
        <f>IF(BX19,TEXT(ROUND(AVERAGE(AG19,AJ19,AM19,AP19),CONFIGURAÇÕES!$C$15),"0"&amp;IF(CONFIGURAÇÕES!$C$15&gt;0,",","")&amp;REPT("0",CONFIGURAÇÕES!$C$15)),"-")</f>
        <v>-</v>
      </c>
      <c r="AT19" s="95"/>
      <c r="AU19" s="95"/>
      <c r="AV19" s="149"/>
      <c r="AW19" s="92"/>
      <c r="AX19" s="92"/>
      <c r="AY19" s="94" t="str">
        <f>IF(AND(BU19:BW19,NOT(BR19)),AS19,IF(AV19&lt;&gt;"",TEXT(ROUND(AVERAGE(VALUE(AS19),AV19),CONFIGURAÇÕES!$C$15),"0"&amp;IF(CONFIGURAÇÕES!$C$15&gt;0,",","")&amp;REPT("0",CONFIGURAÇÕES!$C$15)),"-"))</f>
        <v>-</v>
      </c>
      <c r="AZ19" s="95"/>
      <c r="BA19" s="95"/>
      <c r="BB19" s="89" t="str">
        <f>IF(C19&lt;&gt;"",IF(BR19,CONFIGURAÇÕES!$D$14,IF(AND(BU19,NOT(BW19)),CONFIGURAÇÕES!$E$12,IF(BS19,IF(AND(BV19),CONFIGURAÇÕES!$D$11,IF(AND(BT19),CONFIGURAÇÕES!$D$13,CONFIGURAÇÕES!$E$13)),IF(BU19,"(NOTA AF DEVE SER &gt;= "&amp;2*CONFIGURAÇÕES!$C$13-BOLETIM!AS19&amp;")",IF(COUNTIF(AG19:AR19,"&lt;&gt;")&lt;CONFIGURAÇÕES!$C$16,"(FALTA PELO MENOS UMA NOTA)","-"))))),"")</f>
        <v/>
      </c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1"/>
      <c r="BN19" s="20"/>
      <c r="BO19" s="12"/>
      <c r="BR19" s="14" t="b">
        <f>AND(ISNUMBER(X19),AA19&lt;1-CONFIGURAÇÕES!C$14)</f>
        <v>0</v>
      </c>
      <c r="BS19" s="14" t="b">
        <f t="shared" si="1"/>
        <v>0</v>
      </c>
      <c r="BT19" s="14" t="b">
        <f>AND(BS19,VALUE(SUBSTITUTE($AY19,"-","0"))&gt;=CONFIGURAÇÕES!C$13)</f>
        <v>0</v>
      </c>
      <c r="BU19" s="14" t="b">
        <f t="shared" si="2"/>
        <v>0</v>
      </c>
      <c r="BV19" s="14" t="b">
        <f>AND(VALUE(SUBSTITUTE($AS19,"-","0"))&gt;=CONFIGURAÇÕES!$C$11,BU19)</f>
        <v>0</v>
      </c>
      <c r="BW19" s="14" t="b">
        <f>AND(BU19,VALUE(SUBSTITUTE($AS19,"-","0"))&gt;=CONFIGURAÇÕES!$C$12)</f>
        <v>0</v>
      </c>
      <c r="BX19" s="14" t="b">
        <f>OR(AND(ISNUMBER(AG19),ISNUMBER(AJ19),ISNUMBER(AM19),ISNUMBER(AP19),CONFIGURAÇÕES!$C$16=4),AND(ISNUMBER(AG19),ISNUMBER(AJ19),ISNUMBER(AM19),CONFIGURAÇÕES!$C$16=3),AND(ISNUMBER(AG19),ISNUMBER(AJ19),CONFIGURAÇÕES!$C$16=2),AND(ISNUMBER(AG19),CONFIGURAÇÕES!$C$16=1))</f>
        <v>0</v>
      </c>
      <c r="BY19" s="12" t="b">
        <f>OR($BB19=CONFIGURAÇÕES!$E$12,$BB19=CONFIGURAÇÕES!$E$13,$BB19=CONFIGURAÇÕES!$D$14)</f>
        <v>0</v>
      </c>
      <c r="BZ19" s="12" t="b">
        <f t="shared" si="3"/>
        <v>0</v>
      </c>
      <c r="CA19" s="15"/>
      <c r="CB19" s="13" t="str">
        <f t="shared" si="4"/>
        <v/>
      </c>
      <c r="IS19" s="4"/>
      <c r="IT19" s="4"/>
      <c r="IU19" s="4"/>
      <c r="IV19" s="4"/>
      <c r="IW19" s="4"/>
      <c r="IX19" s="4"/>
      <c r="IY19" s="4"/>
    </row>
    <row r="20" spans="1:259" s="13" customFormat="1" ht="27.95" customHeight="1" x14ac:dyDescent="0.25">
      <c r="A20" s="143">
        <v>5</v>
      </c>
      <c r="B20" s="143"/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6"/>
      <c r="U20" s="147"/>
      <c r="V20" s="148"/>
      <c r="W20" s="148"/>
      <c r="X20" s="148"/>
      <c r="Y20" s="148"/>
      <c r="Z20" s="150"/>
      <c r="AA20" s="151" t="str">
        <f t="shared" si="0"/>
        <v/>
      </c>
      <c r="AB20" s="152"/>
      <c r="AC20" s="152"/>
      <c r="AD20" s="149"/>
      <c r="AE20" s="92"/>
      <c r="AF20" s="92"/>
      <c r="AG20" s="149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3"/>
      <c r="AS20" s="94" t="str">
        <f>IF(BX20,TEXT(ROUND(AVERAGE(AG20,AJ20,AM20,AP20),CONFIGURAÇÕES!$C$15),"0"&amp;IF(CONFIGURAÇÕES!$C$15&gt;0,",","")&amp;REPT("0",CONFIGURAÇÕES!$C$15)),"-")</f>
        <v>-</v>
      </c>
      <c r="AT20" s="95"/>
      <c r="AU20" s="95"/>
      <c r="AV20" s="149"/>
      <c r="AW20" s="92"/>
      <c r="AX20" s="92"/>
      <c r="AY20" s="94" t="str">
        <f>IF(AND(BU20:BW20,NOT(BR20)),AS20,IF(AV20&lt;&gt;"",TEXT(ROUND(AVERAGE(VALUE(AS20),AV20),CONFIGURAÇÕES!$C$15),"0"&amp;IF(CONFIGURAÇÕES!$C$15&gt;0,",","")&amp;REPT("0",CONFIGURAÇÕES!$C$15)),"-"))</f>
        <v>-</v>
      </c>
      <c r="AZ20" s="95"/>
      <c r="BA20" s="95"/>
      <c r="BB20" s="89" t="str">
        <f>IF(C20&lt;&gt;"",IF(BR20,CONFIGURAÇÕES!$D$14,IF(AND(BU20,NOT(BW20)),CONFIGURAÇÕES!$E$12,IF(BS20,IF(AND(BV20),CONFIGURAÇÕES!$D$11,IF(AND(BT20),CONFIGURAÇÕES!$D$13,CONFIGURAÇÕES!$E$13)),IF(BU20,"(NOTA AF DEVE SER &gt;= "&amp;2*CONFIGURAÇÕES!$C$13-BOLETIM!AS20&amp;")",IF(COUNTIF(AG20:AR20,"&lt;&gt;")&lt;CONFIGURAÇÕES!$C$16,"(FALTA PELO MENOS UMA NOTA)","-"))))),"")</f>
        <v/>
      </c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1"/>
      <c r="BN20" s="20"/>
      <c r="BO20" s="12"/>
      <c r="BR20" s="14" t="b">
        <f>AND(ISNUMBER(X20),AA20&lt;1-CONFIGURAÇÕES!C$14)</f>
        <v>0</v>
      </c>
      <c r="BS20" s="14" t="b">
        <f t="shared" si="1"/>
        <v>0</v>
      </c>
      <c r="BT20" s="14" t="b">
        <f>AND(BS20,VALUE(SUBSTITUTE($AY20,"-","0"))&gt;=CONFIGURAÇÕES!C$13)</f>
        <v>0</v>
      </c>
      <c r="BU20" s="14" t="b">
        <f t="shared" si="2"/>
        <v>0</v>
      </c>
      <c r="BV20" s="14" t="b">
        <f>AND(VALUE(SUBSTITUTE($AS20,"-","0"))&gt;=CONFIGURAÇÕES!$C$11,BU20)</f>
        <v>0</v>
      </c>
      <c r="BW20" s="14" t="b">
        <f>AND(BU20,VALUE(SUBSTITUTE($AS20,"-","0"))&gt;=CONFIGURAÇÕES!$C$12)</f>
        <v>0</v>
      </c>
      <c r="BX20" s="14" t="b">
        <f>OR(AND(ISNUMBER(AG20),ISNUMBER(AJ20),ISNUMBER(AM20),ISNUMBER(AP20),CONFIGURAÇÕES!$C$16=4),AND(ISNUMBER(AG20),ISNUMBER(AJ20),ISNUMBER(AM20),CONFIGURAÇÕES!$C$16=3),AND(ISNUMBER(AG20),ISNUMBER(AJ20),CONFIGURAÇÕES!$C$16=2),AND(ISNUMBER(AG20),CONFIGURAÇÕES!$C$16=1))</f>
        <v>0</v>
      </c>
      <c r="BY20" s="12" t="b">
        <f>OR($BB20=CONFIGURAÇÕES!$E$12,$BB20=CONFIGURAÇÕES!$E$13,$BB20=CONFIGURAÇÕES!$D$14)</f>
        <v>0</v>
      </c>
      <c r="BZ20" s="12" t="b">
        <f t="shared" si="3"/>
        <v>0</v>
      </c>
      <c r="CA20" s="15"/>
      <c r="CB20" s="13" t="str">
        <f t="shared" si="4"/>
        <v/>
      </c>
      <c r="IS20" s="4"/>
      <c r="IT20" s="4"/>
      <c r="IU20" s="4"/>
      <c r="IV20" s="4"/>
      <c r="IW20" s="4"/>
      <c r="IX20" s="4"/>
      <c r="IY20" s="4"/>
    </row>
    <row r="21" spans="1:259" s="13" customFormat="1" ht="27.95" customHeight="1" x14ac:dyDescent="0.25">
      <c r="A21" s="143">
        <v>6</v>
      </c>
      <c r="B21" s="143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6"/>
      <c r="U21" s="147"/>
      <c r="V21" s="148"/>
      <c r="W21" s="148"/>
      <c r="X21" s="148"/>
      <c r="Y21" s="148"/>
      <c r="Z21" s="150"/>
      <c r="AA21" s="151" t="str">
        <f t="shared" si="0"/>
        <v/>
      </c>
      <c r="AB21" s="152"/>
      <c r="AC21" s="152"/>
      <c r="AD21" s="149"/>
      <c r="AE21" s="92"/>
      <c r="AF21" s="92"/>
      <c r="AG21" s="149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3"/>
      <c r="AS21" s="94" t="str">
        <f>IF(BX21,TEXT(ROUND(AVERAGE(AG21,AJ21,AM21,AP21),CONFIGURAÇÕES!$C$15),"0"&amp;IF(CONFIGURAÇÕES!$C$15&gt;0,",","")&amp;REPT("0",CONFIGURAÇÕES!$C$15)),"-")</f>
        <v>-</v>
      </c>
      <c r="AT21" s="95"/>
      <c r="AU21" s="95"/>
      <c r="AV21" s="149"/>
      <c r="AW21" s="92"/>
      <c r="AX21" s="92"/>
      <c r="AY21" s="94" t="str">
        <f>IF(AND(BU21:BW21,NOT(BR21)),AS21,IF(AV21&lt;&gt;"",TEXT(ROUND(AVERAGE(VALUE(AS21),AV21),CONFIGURAÇÕES!$C$15),"0"&amp;IF(CONFIGURAÇÕES!$C$15&gt;0,",","")&amp;REPT("0",CONFIGURAÇÕES!$C$15)),"-"))</f>
        <v>-</v>
      </c>
      <c r="AZ21" s="95"/>
      <c r="BA21" s="95"/>
      <c r="BB21" s="89" t="str">
        <f>IF(C21&lt;&gt;"",IF(BR21,CONFIGURAÇÕES!$D$14,IF(AND(BU21,NOT(BW21)),CONFIGURAÇÕES!$E$12,IF(BS21,IF(AND(BV21),CONFIGURAÇÕES!$D$11,IF(AND(BT21),CONFIGURAÇÕES!$D$13,CONFIGURAÇÕES!$E$13)),IF(BU21,"(NOTA AF DEVE SER &gt;= "&amp;2*CONFIGURAÇÕES!$C$13-BOLETIM!AS21&amp;")",IF(COUNTIF(AG21:AR21,"&lt;&gt;")&lt;CONFIGURAÇÕES!$C$16,"(FALTA PELO MENOS UMA NOTA)","-"))))),"")</f>
        <v/>
      </c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1"/>
      <c r="BN21" s="20"/>
      <c r="BO21" s="12"/>
      <c r="BR21" s="14" t="b">
        <f>AND(ISNUMBER(X21),AA21&lt;1-CONFIGURAÇÕES!C$14)</f>
        <v>0</v>
      </c>
      <c r="BS21" s="14" t="b">
        <f t="shared" si="1"/>
        <v>0</v>
      </c>
      <c r="BT21" s="14" t="b">
        <f>AND(BS21,VALUE(SUBSTITUTE($AY21,"-","0"))&gt;=CONFIGURAÇÕES!C$13)</f>
        <v>0</v>
      </c>
      <c r="BU21" s="14" t="b">
        <f t="shared" si="2"/>
        <v>0</v>
      </c>
      <c r="BV21" s="14" t="b">
        <f>AND(VALUE(SUBSTITUTE($AS21,"-","0"))&gt;=CONFIGURAÇÕES!$C$11,BU21)</f>
        <v>0</v>
      </c>
      <c r="BW21" s="14" t="b">
        <f>AND(BU21,VALUE(SUBSTITUTE($AS21,"-","0"))&gt;=CONFIGURAÇÕES!$C$12)</f>
        <v>0</v>
      </c>
      <c r="BX21" s="14" t="b">
        <f>OR(AND(ISNUMBER(AG21),ISNUMBER(AJ21),ISNUMBER(AM21),ISNUMBER(AP21),CONFIGURAÇÕES!$C$16=4),AND(ISNUMBER(AG21),ISNUMBER(AJ21),ISNUMBER(AM21),CONFIGURAÇÕES!$C$16=3),AND(ISNUMBER(AG21),ISNUMBER(AJ21),CONFIGURAÇÕES!$C$16=2),AND(ISNUMBER(AG21),CONFIGURAÇÕES!$C$16=1))</f>
        <v>0</v>
      </c>
      <c r="BY21" s="12" t="b">
        <f>OR($BB21=CONFIGURAÇÕES!$E$12,$BB21=CONFIGURAÇÕES!$E$13,$BB21=CONFIGURAÇÕES!$D$14)</f>
        <v>0</v>
      </c>
      <c r="BZ21" s="12" t="b">
        <f t="shared" si="3"/>
        <v>0</v>
      </c>
      <c r="CA21" s="15"/>
      <c r="CB21" s="13" t="str">
        <f t="shared" si="4"/>
        <v/>
      </c>
      <c r="IS21" s="4"/>
      <c r="IT21" s="4"/>
      <c r="IU21" s="4"/>
      <c r="IV21" s="4"/>
      <c r="IW21" s="4"/>
      <c r="IX21" s="4"/>
      <c r="IY21" s="4"/>
    </row>
    <row r="22" spans="1:259" s="13" customFormat="1" ht="27.95" customHeight="1" x14ac:dyDescent="0.25">
      <c r="A22" s="143">
        <v>7</v>
      </c>
      <c r="B22" s="143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6"/>
      <c r="U22" s="147"/>
      <c r="V22" s="148"/>
      <c r="W22" s="148"/>
      <c r="X22" s="148"/>
      <c r="Y22" s="148"/>
      <c r="Z22" s="150"/>
      <c r="AA22" s="151" t="str">
        <f t="shared" si="0"/>
        <v/>
      </c>
      <c r="AB22" s="152"/>
      <c r="AC22" s="152"/>
      <c r="AD22" s="149"/>
      <c r="AE22" s="92"/>
      <c r="AF22" s="92"/>
      <c r="AG22" s="149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3"/>
      <c r="AS22" s="94" t="str">
        <f>IF(BX22,TEXT(ROUND(AVERAGE(AG22,AJ22,AM22,AP22),CONFIGURAÇÕES!$C$15),"0"&amp;IF(CONFIGURAÇÕES!$C$15&gt;0,",","")&amp;REPT("0",CONFIGURAÇÕES!$C$15)),"-")</f>
        <v>-</v>
      </c>
      <c r="AT22" s="95"/>
      <c r="AU22" s="95"/>
      <c r="AV22" s="149"/>
      <c r="AW22" s="92"/>
      <c r="AX22" s="92"/>
      <c r="AY22" s="94" t="str">
        <f>IF(AND(BU22:BW22,NOT(BR22)),AS22,IF(AV22&lt;&gt;"",TEXT(ROUND(AVERAGE(VALUE(AS22),AV22),CONFIGURAÇÕES!$C$15),"0"&amp;IF(CONFIGURAÇÕES!$C$15&gt;0,",","")&amp;REPT("0",CONFIGURAÇÕES!$C$15)),"-"))</f>
        <v>-</v>
      </c>
      <c r="AZ22" s="95"/>
      <c r="BA22" s="95"/>
      <c r="BB22" s="89" t="str">
        <f>IF(C22&lt;&gt;"",IF(BR22,CONFIGURAÇÕES!$D$14,IF(AND(BU22,NOT(BW22)),CONFIGURAÇÕES!$E$12,IF(BS22,IF(AND(BV22),CONFIGURAÇÕES!$D$11,IF(AND(BT22),CONFIGURAÇÕES!$D$13,CONFIGURAÇÕES!$E$13)),IF(BU22,"(NOTA AF DEVE SER &gt;= "&amp;2*CONFIGURAÇÕES!$C$13-BOLETIM!AS22&amp;")",IF(COUNTIF(AG22:AR22,"&lt;&gt;")&lt;CONFIGURAÇÕES!$C$16,"(FALTA PELO MENOS UMA NOTA)","-"))))),"")</f>
        <v/>
      </c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20"/>
      <c r="BO22" s="12"/>
      <c r="BR22" s="14" t="b">
        <f>AND(ISNUMBER(X22),AA22&lt;1-CONFIGURAÇÕES!C$14)</f>
        <v>0</v>
      </c>
      <c r="BS22" s="14" t="b">
        <f t="shared" si="1"/>
        <v>0</v>
      </c>
      <c r="BT22" s="14" t="b">
        <f>AND(BS22,VALUE(SUBSTITUTE($AY22,"-","0"))&gt;=CONFIGURAÇÕES!C$13)</f>
        <v>0</v>
      </c>
      <c r="BU22" s="14" t="b">
        <f t="shared" si="2"/>
        <v>0</v>
      </c>
      <c r="BV22" s="14" t="b">
        <f>AND(VALUE(SUBSTITUTE($AS22,"-","0"))&gt;=CONFIGURAÇÕES!$C$11,BU22)</f>
        <v>0</v>
      </c>
      <c r="BW22" s="14" t="b">
        <f>AND(BU22,VALUE(SUBSTITUTE($AS22,"-","0"))&gt;=CONFIGURAÇÕES!$C$12)</f>
        <v>0</v>
      </c>
      <c r="BX22" s="14" t="b">
        <f>OR(AND(ISNUMBER(AG22),ISNUMBER(AJ22),ISNUMBER(AM22),ISNUMBER(AP22),CONFIGURAÇÕES!$C$16=4),AND(ISNUMBER(AG22),ISNUMBER(AJ22),ISNUMBER(AM22),CONFIGURAÇÕES!$C$16=3),AND(ISNUMBER(AG22),ISNUMBER(AJ22),CONFIGURAÇÕES!$C$16=2),AND(ISNUMBER(AG22),CONFIGURAÇÕES!$C$16=1))</f>
        <v>0</v>
      </c>
      <c r="BY22" s="12" t="b">
        <f>OR($BB22=CONFIGURAÇÕES!$E$12,$BB22=CONFIGURAÇÕES!$E$13,$BB22=CONFIGURAÇÕES!$D$14)</f>
        <v>0</v>
      </c>
      <c r="BZ22" s="12" t="b">
        <f t="shared" si="3"/>
        <v>0</v>
      </c>
      <c r="CA22" s="15"/>
      <c r="CB22" s="13" t="str">
        <f t="shared" si="4"/>
        <v/>
      </c>
      <c r="IS22" s="4"/>
      <c r="IT22" s="4"/>
      <c r="IU22" s="4"/>
      <c r="IV22" s="4"/>
      <c r="IW22" s="4"/>
      <c r="IX22" s="4"/>
      <c r="IY22" s="4"/>
    </row>
    <row r="23" spans="1:259" s="13" customFormat="1" ht="27.95" customHeight="1" x14ac:dyDescent="0.25">
      <c r="A23" s="143">
        <v>8</v>
      </c>
      <c r="B23" s="143"/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6"/>
      <c r="U23" s="147"/>
      <c r="V23" s="148"/>
      <c r="W23" s="148"/>
      <c r="X23" s="148"/>
      <c r="Y23" s="148"/>
      <c r="Z23" s="150"/>
      <c r="AA23" s="151" t="str">
        <f t="shared" si="0"/>
        <v/>
      </c>
      <c r="AB23" s="152"/>
      <c r="AC23" s="152"/>
      <c r="AD23" s="149"/>
      <c r="AE23" s="92"/>
      <c r="AF23" s="92"/>
      <c r="AG23" s="149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3"/>
      <c r="AS23" s="94" t="str">
        <f>IF(BX23,TEXT(ROUND(AVERAGE(AG23,AJ23,AM23,AP23),CONFIGURAÇÕES!$C$15),"0"&amp;IF(CONFIGURAÇÕES!$C$15&gt;0,",","")&amp;REPT("0",CONFIGURAÇÕES!$C$15)),"-")</f>
        <v>-</v>
      </c>
      <c r="AT23" s="95"/>
      <c r="AU23" s="95"/>
      <c r="AV23" s="149"/>
      <c r="AW23" s="92"/>
      <c r="AX23" s="92"/>
      <c r="AY23" s="94" t="str">
        <f>IF(AND(BU23:BW23,NOT(BR23)),AS23,IF(AV23&lt;&gt;"",TEXT(ROUND(AVERAGE(VALUE(AS23),AV23),CONFIGURAÇÕES!$C$15),"0"&amp;IF(CONFIGURAÇÕES!$C$15&gt;0,",","")&amp;REPT("0",CONFIGURAÇÕES!$C$15)),"-"))</f>
        <v>-</v>
      </c>
      <c r="AZ23" s="95"/>
      <c r="BA23" s="95"/>
      <c r="BB23" s="89" t="str">
        <f>IF(C23&lt;&gt;"",IF(BR23,CONFIGURAÇÕES!$D$14,IF(AND(BU23,NOT(BW23)),CONFIGURAÇÕES!$E$12,IF(BS23,IF(AND(BV23),CONFIGURAÇÕES!$D$11,IF(AND(BT23),CONFIGURAÇÕES!$D$13,CONFIGURAÇÕES!$E$13)),IF(BU23,"(NOTA AF DEVE SER &gt;= "&amp;2*CONFIGURAÇÕES!$C$13-BOLETIM!AS23&amp;")",IF(COUNTIF(AG23:AR23,"&lt;&gt;")&lt;CONFIGURAÇÕES!$C$16,"(FALTA PELO MENOS UMA NOTA)","-"))))),"")</f>
        <v/>
      </c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1"/>
      <c r="BN23" s="20"/>
      <c r="BO23" s="12"/>
      <c r="BR23" s="14" t="b">
        <f>AND(ISNUMBER(X23),AA23&lt;1-CONFIGURAÇÕES!C$14)</f>
        <v>0</v>
      </c>
      <c r="BS23" s="14" t="b">
        <f t="shared" si="1"/>
        <v>0</v>
      </c>
      <c r="BT23" s="14" t="b">
        <f>AND(BS23,VALUE(SUBSTITUTE($AY23,"-","0"))&gt;=CONFIGURAÇÕES!C$13)</f>
        <v>0</v>
      </c>
      <c r="BU23" s="14" t="b">
        <f t="shared" si="2"/>
        <v>0</v>
      </c>
      <c r="BV23" s="14" t="b">
        <f>AND(VALUE(SUBSTITUTE($AS23,"-","0"))&gt;=CONFIGURAÇÕES!$C$11,BU23)</f>
        <v>0</v>
      </c>
      <c r="BW23" s="14" t="b">
        <f>AND(BU23,VALUE(SUBSTITUTE($AS23,"-","0"))&gt;=CONFIGURAÇÕES!$C$12)</f>
        <v>0</v>
      </c>
      <c r="BX23" s="14" t="b">
        <f>OR(AND(ISNUMBER(AG23),ISNUMBER(AJ23),ISNUMBER(AM23),ISNUMBER(AP23),CONFIGURAÇÕES!$C$16=4),AND(ISNUMBER(AG23),ISNUMBER(AJ23),ISNUMBER(AM23),CONFIGURAÇÕES!$C$16=3),AND(ISNUMBER(AG23),ISNUMBER(AJ23),CONFIGURAÇÕES!$C$16=2),AND(ISNUMBER(AG23),CONFIGURAÇÕES!$C$16=1))</f>
        <v>0</v>
      </c>
      <c r="BY23" s="12" t="b">
        <f>OR($BB23=CONFIGURAÇÕES!$E$12,$BB23=CONFIGURAÇÕES!$E$13,$BB23=CONFIGURAÇÕES!$D$14)</f>
        <v>0</v>
      </c>
      <c r="BZ23" s="12" t="b">
        <f t="shared" si="3"/>
        <v>0</v>
      </c>
      <c r="CA23" s="15"/>
      <c r="CB23" s="13" t="str">
        <f t="shared" si="4"/>
        <v/>
      </c>
      <c r="IS23" s="4"/>
      <c r="IT23" s="4"/>
      <c r="IU23" s="4"/>
      <c r="IV23" s="4"/>
      <c r="IW23" s="4"/>
      <c r="IX23" s="4"/>
      <c r="IY23" s="4"/>
    </row>
    <row r="24" spans="1:259" s="13" customFormat="1" ht="27.95" customHeight="1" x14ac:dyDescent="0.25">
      <c r="A24" s="143">
        <v>9</v>
      </c>
      <c r="B24" s="143"/>
      <c r="C24" s="144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6"/>
      <c r="U24" s="147"/>
      <c r="V24" s="148"/>
      <c r="W24" s="148"/>
      <c r="X24" s="148"/>
      <c r="Y24" s="148"/>
      <c r="Z24" s="150"/>
      <c r="AA24" s="151" t="str">
        <f t="shared" si="0"/>
        <v/>
      </c>
      <c r="AB24" s="152"/>
      <c r="AC24" s="152"/>
      <c r="AD24" s="149"/>
      <c r="AE24" s="92"/>
      <c r="AF24" s="92"/>
      <c r="AG24" s="149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3"/>
      <c r="AS24" s="94" t="str">
        <f>IF(BX24,TEXT(ROUND(AVERAGE(AG24,AJ24,AM24,AP24),CONFIGURAÇÕES!$C$15),"0"&amp;IF(CONFIGURAÇÕES!$C$15&gt;0,",","")&amp;REPT("0",CONFIGURAÇÕES!$C$15)),"-")</f>
        <v>-</v>
      </c>
      <c r="AT24" s="95"/>
      <c r="AU24" s="95"/>
      <c r="AV24" s="149"/>
      <c r="AW24" s="92"/>
      <c r="AX24" s="92"/>
      <c r="AY24" s="94" t="str">
        <f>IF(AND(BU24:BW24,NOT(BR24)),AS24,IF(AV24&lt;&gt;"",TEXT(ROUND(AVERAGE(VALUE(AS24),AV24),CONFIGURAÇÕES!$C$15),"0"&amp;IF(CONFIGURAÇÕES!$C$15&gt;0,",","")&amp;REPT("0",CONFIGURAÇÕES!$C$15)),"-"))</f>
        <v>-</v>
      </c>
      <c r="AZ24" s="95"/>
      <c r="BA24" s="95"/>
      <c r="BB24" s="89" t="str">
        <f>IF(C24&lt;&gt;"",IF(BR24,CONFIGURAÇÕES!$D$14,IF(AND(BU24,NOT(BW24)),CONFIGURAÇÕES!$E$12,IF(BS24,IF(AND(BV24),CONFIGURAÇÕES!$D$11,IF(AND(BT24),CONFIGURAÇÕES!$D$13,CONFIGURAÇÕES!$E$13)),IF(BU24,"(NOTA AF DEVE SER &gt;= "&amp;2*CONFIGURAÇÕES!$C$13-BOLETIM!AS24&amp;")",IF(COUNTIF(AG24:AR24,"&lt;&gt;")&lt;CONFIGURAÇÕES!$C$16,"(FALTA PELO MENOS UMA NOTA)","-"))))),"")</f>
        <v/>
      </c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20"/>
      <c r="BO24" s="12"/>
      <c r="BR24" s="14" t="b">
        <f>AND(ISNUMBER(X24),AA24&lt;1-CONFIGURAÇÕES!C$14)</f>
        <v>0</v>
      </c>
      <c r="BS24" s="14" t="b">
        <f t="shared" si="1"/>
        <v>0</v>
      </c>
      <c r="BT24" s="14" t="b">
        <f>AND(BS24,VALUE(SUBSTITUTE($AY24,"-","0"))&gt;=CONFIGURAÇÕES!C$13)</f>
        <v>0</v>
      </c>
      <c r="BU24" s="14" t="b">
        <f t="shared" si="2"/>
        <v>0</v>
      </c>
      <c r="BV24" s="14" t="b">
        <f>AND(VALUE(SUBSTITUTE($AS24,"-","0"))&gt;=CONFIGURAÇÕES!$C$11,BU24)</f>
        <v>0</v>
      </c>
      <c r="BW24" s="14" t="b">
        <f>AND(BU24,VALUE(SUBSTITUTE($AS24,"-","0"))&gt;=CONFIGURAÇÕES!$C$12)</f>
        <v>0</v>
      </c>
      <c r="BX24" s="14" t="b">
        <f>OR(AND(ISNUMBER(AG24),ISNUMBER(AJ24),ISNUMBER(AM24),ISNUMBER(AP24),CONFIGURAÇÕES!$C$16=4),AND(ISNUMBER(AG24),ISNUMBER(AJ24),ISNUMBER(AM24),CONFIGURAÇÕES!$C$16=3),AND(ISNUMBER(AG24),ISNUMBER(AJ24),CONFIGURAÇÕES!$C$16=2),AND(ISNUMBER(AG24),CONFIGURAÇÕES!$C$16=1))</f>
        <v>0</v>
      </c>
      <c r="BY24" s="12" t="b">
        <f>OR($BB24=CONFIGURAÇÕES!$E$12,$BB24=CONFIGURAÇÕES!$E$13,$BB24=CONFIGURAÇÕES!$D$14)</f>
        <v>0</v>
      </c>
      <c r="BZ24" s="12" t="b">
        <f t="shared" si="3"/>
        <v>0</v>
      </c>
      <c r="CA24" s="15"/>
      <c r="CB24" s="13" t="str">
        <f t="shared" si="4"/>
        <v/>
      </c>
      <c r="IS24" s="4"/>
      <c r="IT24" s="4"/>
      <c r="IU24" s="4"/>
      <c r="IV24" s="4"/>
      <c r="IW24" s="4"/>
      <c r="IX24" s="4"/>
      <c r="IY24" s="4"/>
    </row>
    <row r="25" spans="1:259" s="13" customFormat="1" ht="27.95" customHeight="1" x14ac:dyDescent="0.25">
      <c r="A25" s="143">
        <v>10</v>
      </c>
      <c r="B25" s="143"/>
      <c r="C25" s="144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6"/>
      <c r="U25" s="147"/>
      <c r="V25" s="148"/>
      <c r="W25" s="148"/>
      <c r="X25" s="148"/>
      <c r="Y25" s="148"/>
      <c r="Z25" s="150"/>
      <c r="AA25" s="151" t="str">
        <f t="shared" si="0"/>
        <v/>
      </c>
      <c r="AB25" s="152"/>
      <c r="AC25" s="152"/>
      <c r="AD25" s="149"/>
      <c r="AE25" s="92"/>
      <c r="AF25" s="92"/>
      <c r="AG25" s="149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3"/>
      <c r="AS25" s="94" t="str">
        <f>IF(BX25,TEXT(ROUND(AVERAGE(AG25,AJ25,AM25,AP25),CONFIGURAÇÕES!$C$15),"0"&amp;IF(CONFIGURAÇÕES!$C$15&gt;0,",","")&amp;REPT("0",CONFIGURAÇÕES!$C$15)),"-")</f>
        <v>-</v>
      </c>
      <c r="AT25" s="95"/>
      <c r="AU25" s="95"/>
      <c r="AV25" s="149"/>
      <c r="AW25" s="92"/>
      <c r="AX25" s="92"/>
      <c r="AY25" s="94" t="str">
        <f>IF(AND(BU25:BW25,NOT(BR25)),AS25,IF(AV25&lt;&gt;"",TEXT(ROUND(AVERAGE(VALUE(AS25),AV25),CONFIGURAÇÕES!$C$15),"0"&amp;IF(CONFIGURAÇÕES!$C$15&gt;0,",","")&amp;REPT("0",CONFIGURAÇÕES!$C$15)),"-"))</f>
        <v>-</v>
      </c>
      <c r="AZ25" s="95"/>
      <c r="BA25" s="95"/>
      <c r="BB25" s="89" t="str">
        <f>IF(C25&lt;&gt;"",IF(BR25,CONFIGURAÇÕES!$D$14,IF(AND(BU25,NOT(BW25)),CONFIGURAÇÕES!$E$12,IF(BS25,IF(AND(BV25),CONFIGURAÇÕES!$D$11,IF(AND(BT25),CONFIGURAÇÕES!$D$13,CONFIGURAÇÕES!$E$13)),IF(BU25,"(NOTA AF DEVE SER &gt;= "&amp;2*CONFIGURAÇÕES!$C$13-BOLETIM!AS25&amp;")",IF(COUNTIF(AG25:AR25,"&lt;&gt;")&lt;CONFIGURAÇÕES!$C$16,"(FALTA PELO MENOS UMA NOTA)","-"))))),"")</f>
        <v/>
      </c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20"/>
      <c r="BO25" s="12"/>
      <c r="BR25" s="14" t="b">
        <f>AND(ISNUMBER(X25),AA25&lt;1-CONFIGURAÇÕES!C$14)</f>
        <v>0</v>
      </c>
      <c r="BS25" s="14" t="b">
        <f t="shared" si="1"/>
        <v>0</v>
      </c>
      <c r="BT25" s="14" t="b">
        <f>AND(BS25,VALUE(SUBSTITUTE($AY25,"-","0"))&gt;=CONFIGURAÇÕES!C$13)</f>
        <v>0</v>
      </c>
      <c r="BU25" s="14" t="b">
        <f t="shared" si="2"/>
        <v>0</v>
      </c>
      <c r="BV25" s="14" t="b">
        <f>AND(VALUE(SUBSTITUTE($AS25,"-","0"))&gt;=CONFIGURAÇÕES!$C$11,BU25)</f>
        <v>0</v>
      </c>
      <c r="BW25" s="14" t="b">
        <f>AND(BU25,VALUE(SUBSTITUTE($AS25,"-","0"))&gt;=CONFIGURAÇÕES!$C$12)</f>
        <v>0</v>
      </c>
      <c r="BX25" s="14" t="b">
        <f>OR(AND(ISNUMBER(AG25),ISNUMBER(AJ25),ISNUMBER(AM25),ISNUMBER(AP25),CONFIGURAÇÕES!$C$16=4),AND(ISNUMBER(AG25),ISNUMBER(AJ25),ISNUMBER(AM25),CONFIGURAÇÕES!$C$16=3),AND(ISNUMBER(AG25),ISNUMBER(AJ25),CONFIGURAÇÕES!$C$16=2),AND(ISNUMBER(AG25),CONFIGURAÇÕES!$C$16=1))</f>
        <v>0</v>
      </c>
      <c r="BY25" s="12" t="b">
        <f>OR($BB25=CONFIGURAÇÕES!$E$12,$BB25=CONFIGURAÇÕES!$E$13,$BB25=CONFIGURAÇÕES!$D$14)</f>
        <v>0</v>
      </c>
      <c r="BZ25" s="12" t="b">
        <f t="shared" si="3"/>
        <v>0</v>
      </c>
      <c r="CA25" s="15"/>
      <c r="CB25" s="13" t="str">
        <f t="shared" si="4"/>
        <v/>
      </c>
      <c r="IS25" s="4"/>
      <c r="IT25" s="4"/>
      <c r="IU25" s="4"/>
      <c r="IV25" s="4"/>
      <c r="IW25" s="4"/>
      <c r="IX25" s="4"/>
      <c r="IY25" s="4"/>
    </row>
    <row r="26" spans="1:259" s="13" customFormat="1" ht="27.95" customHeight="1" x14ac:dyDescent="0.25">
      <c r="A26" s="143">
        <v>11</v>
      </c>
      <c r="B26" s="143"/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6"/>
      <c r="U26" s="147"/>
      <c r="V26" s="148"/>
      <c r="W26" s="148"/>
      <c r="X26" s="148"/>
      <c r="Y26" s="148"/>
      <c r="Z26" s="150"/>
      <c r="AA26" s="151" t="str">
        <f t="shared" si="0"/>
        <v/>
      </c>
      <c r="AB26" s="152"/>
      <c r="AC26" s="152"/>
      <c r="AD26" s="149"/>
      <c r="AE26" s="92"/>
      <c r="AF26" s="92"/>
      <c r="AG26" s="149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3"/>
      <c r="AS26" s="94" t="str">
        <f>IF(BX26,TEXT(ROUND(AVERAGE(AG26,AJ26,AM26,AP26),CONFIGURAÇÕES!$C$15),"0"&amp;IF(CONFIGURAÇÕES!$C$15&gt;0,",","")&amp;REPT("0",CONFIGURAÇÕES!$C$15)),"-")</f>
        <v>-</v>
      </c>
      <c r="AT26" s="95"/>
      <c r="AU26" s="95"/>
      <c r="AV26" s="149"/>
      <c r="AW26" s="92"/>
      <c r="AX26" s="92"/>
      <c r="AY26" s="94" t="str">
        <f>IF(AND(BU26:BW26,NOT(BR26)),AS26,IF(AV26&lt;&gt;"",TEXT(ROUND(AVERAGE(VALUE(AS26),AV26),CONFIGURAÇÕES!$C$15),"0"&amp;IF(CONFIGURAÇÕES!$C$15&gt;0,",","")&amp;REPT("0",CONFIGURAÇÕES!$C$15)),"-"))</f>
        <v>-</v>
      </c>
      <c r="AZ26" s="95"/>
      <c r="BA26" s="95"/>
      <c r="BB26" s="89" t="str">
        <f>IF(C26&lt;&gt;"",IF(BR26,CONFIGURAÇÕES!$D$14,IF(AND(BU26,NOT(BW26)),CONFIGURAÇÕES!$E$12,IF(BS26,IF(AND(BV26),CONFIGURAÇÕES!$D$11,IF(AND(BT26),CONFIGURAÇÕES!$D$13,CONFIGURAÇÕES!$E$13)),IF(BU26,"(NOTA AF DEVE SER &gt;= "&amp;2*CONFIGURAÇÕES!$C$13-BOLETIM!AS26&amp;")",IF(COUNTIF(AG26:AR26,"&lt;&gt;")&lt;CONFIGURAÇÕES!$C$16,"(FALTA PELO MENOS UMA NOTA)","-"))))),"")</f>
        <v/>
      </c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20"/>
      <c r="BO26" s="12"/>
      <c r="BR26" s="14" t="b">
        <f>AND(ISNUMBER(X26),AA26&lt;1-CONFIGURAÇÕES!C$14)</f>
        <v>0</v>
      </c>
      <c r="BS26" s="14" t="b">
        <f t="shared" si="1"/>
        <v>0</v>
      </c>
      <c r="BT26" s="14" t="b">
        <f>AND(BS26,VALUE(SUBSTITUTE($AY26,"-","0"))&gt;=CONFIGURAÇÕES!C$13)</f>
        <v>0</v>
      </c>
      <c r="BU26" s="14" t="b">
        <f t="shared" si="2"/>
        <v>0</v>
      </c>
      <c r="BV26" s="14" t="b">
        <f>AND(VALUE(SUBSTITUTE($AS26,"-","0"))&gt;=CONFIGURAÇÕES!$C$11,BU26)</f>
        <v>0</v>
      </c>
      <c r="BW26" s="14" t="b">
        <f>AND(BU26,VALUE(SUBSTITUTE($AS26,"-","0"))&gt;=CONFIGURAÇÕES!$C$12)</f>
        <v>0</v>
      </c>
      <c r="BX26" s="14" t="b">
        <f>OR(AND(ISNUMBER(AG26),ISNUMBER(AJ26),ISNUMBER(AM26),ISNUMBER(AP26),CONFIGURAÇÕES!$C$16=4),AND(ISNUMBER(AG26),ISNUMBER(AJ26),ISNUMBER(AM26),CONFIGURAÇÕES!$C$16=3),AND(ISNUMBER(AG26),ISNUMBER(AJ26),CONFIGURAÇÕES!$C$16=2),AND(ISNUMBER(AG26),CONFIGURAÇÕES!$C$16=1))</f>
        <v>0</v>
      </c>
      <c r="BY26" s="12" t="b">
        <f>OR($BB26=CONFIGURAÇÕES!$E$12,$BB26=CONFIGURAÇÕES!$E$13,$BB26=CONFIGURAÇÕES!$D$14)</f>
        <v>0</v>
      </c>
      <c r="BZ26" s="12" t="b">
        <f t="shared" si="3"/>
        <v>0</v>
      </c>
      <c r="CA26" s="15"/>
      <c r="CB26" s="13" t="str">
        <f t="shared" si="4"/>
        <v/>
      </c>
      <c r="IS26" s="4"/>
      <c r="IT26" s="4"/>
      <c r="IU26" s="4"/>
      <c r="IV26" s="4"/>
      <c r="IW26" s="4"/>
      <c r="IX26" s="4"/>
      <c r="IY26" s="4"/>
    </row>
    <row r="27" spans="1:259" s="13" customFormat="1" ht="27.95" customHeight="1" x14ac:dyDescent="0.25">
      <c r="A27" s="143">
        <v>12</v>
      </c>
      <c r="B27" s="143"/>
      <c r="C27" s="144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6"/>
      <c r="U27" s="147"/>
      <c r="V27" s="148"/>
      <c r="W27" s="148"/>
      <c r="X27" s="148"/>
      <c r="Y27" s="148"/>
      <c r="Z27" s="150"/>
      <c r="AA27" s="151" t="str">
        <f t="shared" si="0"/>
        <v/>
      </c>
      <c r="AB27" s="152"/>
      <c r="AC27" s="152"/>
      <c r="AD27" s="149"/>
      <c r="AE27" s="92"/>
      <c r="AF27" s="92"/>
      <c r="AG27" s="149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3"/>
      <c r="AS27" s="94" t="str">
        <f>IF(BX27,TEXT(ROUND(AVERAGE(AG27,AJ27,AM27,AP27),CONFIGURAÇÕES!$C$15),"0"&amp;IF(CONFIGURAÇÕES!$C$15&gt;0,",","")&amp;REPT("0",CONFIGURAÇÕES!$C$15)),"-")</f>
        <v>-</v>
      </c>
      <c r="AT27" s="95"/>
      <c r="AU27" s="95"/>
      <c r="AV27" s="149"/>
      <c r="AW27" s="92"/>
      <c r="AX27" s="92"/>
      <c r="AY27" s="94" t="str">
        <f>IF(AND(BU27:BW27,NOT(BR27)),AS27,IF(AV27&lt;&gt;"",TEXT(ROUND(AVERAGE(VALUE(AS27),AV27),CONFIGURAÇÕES!$C$15),"0"&amp;IF(CONFIGURAÇÕES!$C$15&gt;0,",","")&amp;REPT("0",CONFIGURAÇÕES!$C$15)),"-"))</f>
        <v>-</v>
      </c>
      <c r="AZ27" s="95"/>
      <c r="BA27" s="95"/>
      <c r="BB27" s="89" t="str">
        <f>IF(C27&lt;&gt;"",IF(BR27,CONFIGURAÇÕES!$D$14,IF(AND(BU27,NOT(BW27)),CONFIGURAÇÕES!$E$12,IF(BS27,IF(AND(BV27),CONFIGURAÇÕES!$D$11,IF(AND(BT27),CONFIGURAÇÕES!$D$13,CONFIGURAÇÕES!$E$13)),IF(BU27,"(NOTA AF DEVE SER &gt;= "&amp;2*CONFIGURAÇÕES!$C$13-BOLETIM!AS27&amp;")",IF(COUNTIF(AG27:AR27,"&lt;&gt;")&lt;CONFIGURAÇÕES!$C$16,"(FALTA PELO MENOS UMA NOTA)","-"))))),"")</f>
        <v/>
      </c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20"/>
      <c r="BO27" s="12"/>
      <c r="BR27" s="14" t="b">
        <f>AND(ISNUMBER(X27),AA27&lt;1-CONFIGURAÇÕES!C$14)</f>
        <v>0</v>
      </c>
      <c r="BS27" s="14" t="b">
        <f t="shared" si="1"/>
        <v>0</v>
      </c>
      <c r="BT27" s="14" t="b">
        <f>AND(BS27,VALUE(SUBSTITUTE($AY27,"-","0"))&gt;=CONFIGURAÇÕES!C$13)</f>
        <v>0</v>
      </c>
      <c r="BU27" s="14" t="b">
        <f t="shared" si="2"/>
        <v>0</v>
      </c>
      <c r="BV27" s="14" t="b">
        <f>AND(VALUE(SUBSTITUTE($AS27,"-","0"))&gt;=CONFIGURAÇÕES!$C$11,BU27)</f>
        <v>0</v>
      </c>
      <c r="BW27" s="14" t="b">
        <f>AND(BU27,VALUE(SUBSTITUTE($AS27,"-","0"))&gt;=CONFIGURAÇÕES!$C$12)</f>
        <v>0</v>
      </c>
      <c r="BX27" s="14" t="b">
        <f>OR(AND(ISNUMBER(AG27),ISNUMBER(AJ27),ISNUMBER(AM27),ISNUMBER(AP27),CONFIGURAÇÕES!$C$16=4),AND(ISNUMBER(AG27),ISNUMBER(AJ27),ISNUMBER(AM27),CONFIGURAÇÕES!$C$16=3),AND(ISNUMBER(AG27),ISNUMBER(AJ27),CONFIGURAÇÕES!$C$16=2),AND(ISNUMBER(AG27),CONFIGURAÇÕES!$C$16=1))</f>
        <v>0</v>
      </c>
      <c r="BY27" s="12" t="b">
        <f>OR($BB27=CONFIGURAÇÕES!$E$12,$BB27=CONFIGURAÇÕES!$E$13,$BB27=CONFIGURAÇÕES!$D$14)</f>
        <v>0</v>
      </c>
      <c r="BZ27" s="12" t="b">
        <f t="shared" si="3"/>
        <v>0</v>
      </c>
      <c r="CA27" s="15"/>
      <c r="CB27" s="13" t="str">
        <f t="shared" si="4"/>
        <v/>
      </c>
      <c r="IS27" s="4"/>
      <c r="IT27" s="4"/>
      <c r="IU27" s="4"/>
      <c r="IV27" s="4"/>
      <c r="IW27" s="4"/>
      <c r="IX27" s="4"/>
      <c r="IY27" s="4"/>
    </row>
    <row r="28" spans="1:259" s="13" customFormat="1" ht="27.95" customHeight="1" x14ac:dyDescent="0.25">
      <c r="A28" s="143">
        <v>13</v>
      </c>
      <c r="B28" s="143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6"/>
      <c r="U28" s="147"/>
      <c r="V28" s="148"/>
      <c r="W28" s="148"/>
      <c r="X28" s="148"/>
      <c r="Y28" s="148"/>
      <c r="Z28" s="150"/>
      <c r="AA28" s="151" t="str">
        <f t="shared" si="0"/>
        <v/>
      </c>
      <c r="AB28" s="152"/>
      <c r="AC28" s="152"/>
      <c r="AD28" s="149"/>
      <c r="AE28" s="92"/>
      <c r="AF28" s="92"/>
      <c r="AG28" s="149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3"/>
      <c r="AS28" s="94" t="str">
        <f>IF(BX28,TEXT(ROUND(AVERAGE(AG28,AJ28,AM28,AP28),CONFIGURAÇÕES!$C$15),"0"&amp;IF(CONFIGURAÇÕES!$C$15&gt;0,",","")&amp;REPT("0",CONFIGURAÇÕES!$C$15)),"-")</f>
        <v>-</v>
      </c>
      <c r="AT28" s="95"/>
      <c r="AU28" s="95"/>
      <c r="AV28" s="149"/>
      <c r="AW28" s="92"/>
      <c r="AX28" s="92"/>
      <c r="AY28" s="94" t="str">
        <f>IF(AND(BU28:BW28,NOT(BR28)),AS28,IF(AV28&lt;&gt;"",TEXT(ROUND(AVERAGE(VALUE(AS28),AV28),CONFIGURAÇÕES!$C$15),"0"&amp;IF(CONFIGURAÇÕES!$C$15&gt;0,",","")&amp;REPT("0",CONFIGURAÇÕES!$C$15)),"-"))</f>
        <v>-</v>
      </c>
      <c r="AZ28" s="95"/>
      <c r="BA28" s="95"/>
      <c r="BB28" s="89" t="str">
        <f>IF(C28&lt;&gt;"",IF(BR28,CONFIGURAÇÕES!$D$14,IF(AND(BU28,NOT(BW28)),CONFIGURAÇÕES!$E$12,IF(BS28,IF(AND(BV28),CONFIGURAÇÕES!$D$11,IF(AND(BT28),CONFIGURAÇÕES!$D$13,CONFIGURAÇÕES!$E$13)),IF(BU28,"(NOTA AF DEVE SER &gt;= "&amp;2*CONFIGURAÇÕES!$C$13-BOLETIM!AS28&amp;")",IF(COUNTIF(AG28:AR28,"&lt;&gt;")&lt;CONFIGURAÇÕES!$C$16,"(FALTA PELO MENOS UMA NOTA)","-"))))),"")</f>
        <v/>
      </c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1"/>
      <c r="BN28" s="20"/>
      <c r="BO28" s="12"/>
      <c r="BR28" s="14" t="b">
        <f>AND(ISNUMBER(X28),AA28&lt;1-CONFIGURAÇÕES!C$14)</f>
        <v>0</v>
      </c>
      <c r="BS28" s="14" t="b">
        <f t="shared" si="1"/>
        <v>0</v>
      </c>
      <c r="BT28" s="14" t="b">
        <f>AND(BS28,VALUE(SUBSTITUTE($AY28,"-","0"))&gt;=CONFIGURAÇÕES!C$13)</f>
        <v>0</v>
      </c>
      <c r="BU28" s="14" t="b">
        <f t="shared" si="2"/>
        <v>0</v>
      </c>
      <c r="BV28" s="14" t="b">
        <f>AND(VALUE(SUBSTITUTE($AS28,"-","0"))&gt;=CONFIGURAÇÕES!$C$11,BU28)</f>
        <v>0</v>
      </c>
      <c r="BW28" s="14" t="b">
        <f>AND(BU28,VALUE(SUBSTITUTE($AS28,"-","0"))&gt;=CONFIGURAÇÕES!$C$12)</f>
        <v>0</v>
      </c>
      <c r="BX28" s="14" t="b">
        <f>OR(AND(ISNUMBER(AG28),ISNUMBER(AJ28),ISNUMBER(AM28),ISNUMBER(AP28),CONFIGURAÇÕES!$C$16=4),AND(ISNUMBER(AG28),ISNUMBER(AJ28),ISNUMBER(AM28),CONFIGURAÇÕES!$C$16=3),AND(ISNUMBER(AG28),ISNUMBER(AJ28),CONFIGURAÇÕES!$C$16=2),AND(ISNUMBER(AG28),CONFIGURAÇÕES!$C$16=1))</f>
        <v>0</v>
      </c>
      <c r="BY28" s="12" t="b">
        <f>OR($BB28=CONFIGURAÇÕES!$E$12,$BB28=CONFIGURAÇÕES!$E$13,$BB28=CONFIGURAÇÕES!$D$14)</f>
        <v>0</v>
      </c>
      <c r="BZ28" s="12" t="b">
        <f t="shared" si="3"/>
        <v>0</v>
      </c>
      <c r="CA28" s="15"/>
      <c r="CB28" s="13" t="str">
        <f t="shared" si="4"/>
        <v/>
      </c>
      <c r="IS28" s="4"/>
      <c r="IT28" s="4"/>
      <c r="IU28" s="4"/>
      <c r="IV28" s="4"/>
      <c r="IW28" s="4"/>
      <c r="IX28" s="4"/>
      <c r="IY28" s="4"/>
    </row>
    <row r="29" spans="1:259" s="13" customFormat="1" ht="27.95" customHeight="1" x14ac:dyDescent="0.25">
      <c r="A29" s="143">
        <v>14</v>
      </c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6"/>
      <c r="U29" s="147"/>
      <c r="V29" s="148"/>
      <c r="W29" s="148"/>
      <c r="X29" s="148"/>
      <c r="Y29" s="148"/>
      <c r="Z29" s="150"/>
      <c r="AA29" s="151" t="str">
        <f t="shared" si="0"/>
        <v/>
      </c>
      <c r="AB29" s="152"/>
      <c r="AC29" s="152"/>
      <c r="AD29" s="149"/>
      <c r="AE29" s="92"/>
      <c r="AF29" s="92"/>
      <c r="AG29" s="149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3"/>
      <c r="AS29" s="94" t="str">
        <f>IF(BX29,TEXT(ROUND(AVERAGE(AG29,AJ29,AM29,AP29),CONFIGURAÇÕES!$C$15),"0"&amp;IF(CONFIGURAÇÕES!$C$15&gt;0,",","")&amp;REPT("0",CONFIGURAÇÕES!$C$15)),"-")</f>
        <v>-</v>
      </c>
      <c r="AT29" s="95"/>
      <c r="AU29" s="95"/>
      <c r="AV29" s="149"/>
      <c r="AW29" s="92"/>
      <c r="AX29" s="92"/>
      <c r="AY29" s="94" t="str">
        <f>IF(AND(BU29:BW29,NOT(BR29)),AS29,IF(AV29&lt;&gt;"",TEXT(ROUND(AVERAGE(VALUE(AS29),AV29),CONFIGURAÇÕES!$C$15),"0"&amp;IF(CONFIGURAÇÕES!$C$15&gt;0,",","")&amp;REPT("0",CONFIGURAÇÕES!$C$15)),"-"))</f>
        <v>-</v>
      </c>
      <c r="AZ29" s="95"/>
      <c r="BA29" s="95"/>
      <c r="BB29" s="89" t="str">
        <f>IF(C29&lt;&gt;"",IF(BR29,CONFIGURAÇÕES!$D$14,IF(AND(BU29,NOT(BW29)),CONFIGURAÇÕES!$E$12,IF(BS29,IF(AND(BV29),CONFIGURAÇÕES!$D$11,IF(AND(BT29),CONFIGURAÇÕES!$D$13,CONFIGURAÇÕES!$E$13)),IF(BU29,"(NOTA AF DEVE SER &gt;= "&amp;2*CONFIGURAÇÕES!$C$13-BOLETIM!AS29&amp;")",IF(COUNTIF(AG29:AR29,"&lt;&gt;")&lt;CONFIGURAÇÕES!$C$16,"(FALTA PELO MENOS UMA NOTA)","-"))))),"")</f>
        <v/>
      </c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20"/>
      <c r="BO29" s="12"/>
      <c r="BR29" s="14" t="b">
        <f>AND(ISNUMBER(X29),AA29&lt;1-CONFIGURAÇÕES!C$14)</f>
        <v>0</v>
      </c>
      <c r="BS29" s="14" t="b">
        <f t="shared" si="1"/>
        <v>0</v>
      </c>
      <c r="BT29" s="14" t="b">
        <f>AND(BS29,VALUE(SUBSTITUTE($AY29,"-","0"))&gt;=CONFIGURAÇÕES!C$13)</f>
        <v>0</v>
      </c>
      <c r="BU29" s="14" t="b">
        <f t="shared" si="2"/>
        <v>0</v>
      </c>
      <c r="BV29" s="14" t="b">
        <f>AND(VALUE(SUBSTITUTE($AS29,"-","0"))&gt;=CONFIGURAÇÕES!$C$11,BU29)</f>
        <v>0</v>
      </c>
      <c r="BW29" s="14" t="b">
        <f>AND(BU29,VALUE(SUBSTITUTE($AS29,"-","0"))&gt;=CONFIGURAÇÕES!$C$12)</f>
        <v>0</v>
      </c>
      <c r="BX29" s="14" t="b">
        <f>OR(AND(ISNUMBER(AG29),ISNUMBER(AJ29),ISNUMBER(AM29),ISNUMBER(AP29),CONFIGURAÇÕES!$C$16=4),AND(ISNUMBER(AG29),ISNUMBER(AJ29),ISNUMBER(AM29),CONFIGURAÇÕES!$C$16=3),AND(ISNUMBER(AG29),ISNUMBER(AJ29),CONFIGURAÇÕES!$C$16=2),AND(ISNUMBER(AG29),CONFIGURAÇÕES!$C$16=1))</f>
        <v>0</v>
      </c>
      <c r="BY29" s="12" t="b">
        <f>OR($BB29=CONFIGURAÇÕES!$E$12,$BB29=CONFIGURAÇÕES!$E$13,$BB29=CONFIGURAÇÕES!$D$14)</f>
        <v>0</v>
      </c>
      <c r="BZ29" s="12" t="b">
        <f t="shared" si="3"/>
        <v>0</v>
      </c>
      <c r="CA29" s="15"/>
      <c r="CB29" s="13" t="str">
        <f t="shared" si="4"/>
        <v/>
      </c>
      <c r="IS29" s="4"/>
      <c r="IT29" s="4"/>
      <c r="IU29" s="4"/>
      <c r="IV29" s="4"/>
      <c r="IW29" s="4"/>
      <c r="IX29" s="4"/>
      <c r="IY29" s="4"/>
    </row>
    <row r="30" spans="1:259" s="13" customFormat="1" ht="27.95" customHeight="1" x14ac:dyDescent="0.25">
      <c r="A30" s="143">
        <v>15</v>
      </c>
      <c r="B30" s="143"/>
      <c r="C30" s="144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6"/>
      <c r="U30" s="147"/>
      <c r="V30" s="148"/>
      <c r="W30" s="148"/>
      <c r="X30" s="148"/>
      <c r="Y30" s="148"/>
      <c r="Z30" s="150"/>
      <c r="AA30" s="151" t="str">
        <f t="shared" si="0"/>
        <v/>
      </c>
      <c r="AB30" s="152"/>
      <c r="AC30" s="152"/>
      <c r="AD30" s="149"/>
      <c r="AE30" s="92"/>
      <c r="AF30" s="92"/>
      <c r="AG30" s="149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3"/>
      <c r="AS30" s="94" t="str">
        <f>IF(BX30,TEXT(ROUND(AVERAGE(AG30,AJ30,AM30,AP30),CONFIGURAÇÕES!$C$15),"0"&amp;IF(CONFIGURAÇÕES!$C$15&gt;0,",","")&amp;REPT("0",CONFIGURAÇÕES!$C$15)),"-")</f>
        <v>-</v>
      </c>
      <c r="AT30" s="95"/>
      <c r="AU30" s="95"/>
      <c r="AV30" s="149"/>
      <c r="AW30" s="92"/>
      <c r="AX30" s="92"/>
      <c r="AY30" s="94" t="str">
        <f>IF(AND(BU30:BW30,NOT(BR30)),AS30,IF(AV30&lt;&gt;"",TEXT(ROUND(AVERAGE(VALUE(AS30),AV30),CONFIGURAÇÕES!$C$15),"0"&amp;IF(CONFIGURAÇÕES!$C$15&gt;0,",","")&amp;REPT("0",CONFIGURAÇÕES!$C$15)),"-"))</f>
        <v>-</v>
      </c>
      <c r="AZ30" s="95"/>
      <c r="BA30" s="95"/>
      <c r="BB30" s="89" t="str">
        <f>IF(C30&lt;&gt;"",IF(BR30,CONFIGURAÇÕES!$D$14,IF(AND(BU30,NOT(BW30)),CONFIGURAÇÕES!$E$12,IF(BS30,IF(AND(BV30),CONFIGURAÇÕES!$D$11,IF(AND(BT30),CONFIGURAÇÕES!$D$13,CONFIGURAÇÕES!$E$13)),IF(BU30,"(NOTA AF DEVE SER &gt;= "&amp;2*CONFIGURAÇÕES!$C$13-BOLETIM!AS30&amp;")",IF(COUNTIF(AG30:AR30,"&lt;&gt;")&lt;CONFIGURAÇÕES!$C$16,"(FALTA PELO MENOS UMA NOTA)","-"))))),"")</f>
        <v/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20"/>
      <c r="BO30" s="12"/>
      <c r="BR30" s="14" t="b">
        <f>AND(ISNUMBER(X30),AA30&lt;1-CONFIGURAÇÕES!C$14)</f>
        <v>0</v>
      </c>
      <c r="BS30" s="14" t="b">
        <f t="shared" si="1"/>
        <v>0</v>
      </c>
      <c r="BT30" s="14" t="b">
        <f>AND(BS30,VALUE(SUBSTITUTE($AY30,"-","0"))&gt;=CONFIGURAÇÕES!C$13)</f>
        <v>0</v>
      </c>
      <c r="BU30" s="14" t="b">
        <f t="shared" si="2"/>
        <v>0</v>
      </c>
      <c r="BV30" s="14" t="b">
        <f>AND(VALUE(SUBSTITUTE($AS30,"-","0"))&gt;=CONFIGURAÇÕES!$C$11,BU30)</f>
        <v>0</v>
      </c>
      <c r="BW30" s="14" t="b">
        <f>AND(BU30,VALUE(SUBSTITUTE($AS30,"-","0"))&gt;=CONFIGURAÇÕES!$C$12)</f>
        <v>0</v>
      </c>
      <c r="BX30" s="14" t="b">
        <f>OR(AND(ISNUMBER(AG30),ISNUMBER(AJ30),ISNUMBER(AM30),ISNUMBER(AP30),CONFIGURAÇÕES!$C$16=4),AND(ISNUMBER(AG30),ISNUMBER(AJ30),ISNUMBER(AM30),CONFIGURAÇÕES!$C$16=3),AND(ISNUMBER(AG30),ISNUMBER(AJ30),CONFIGURAÇÕES!$C$16=2),AND(ISNUMBER(AG30),CONFIGURAÇÕES!$C$16=1))</f>
        <v>0</v>
      </c>
      <c r="BY30" s="12" t="b">
        <f>OR($BB30=CONFIGURAÇÕES!$E$12,$BB30=CONFIGURAÇÕES!$E$13,$BB30=CONFIGURAÇÕES!$D$14)</f>
        <v>0</v>
      </c>
      <c r="BZ30" s="12" t="b">
        <f t="shared" si="3"/>
        <v>0</v>
      </c>
      <c r="CA30" s="15"/>
      <c r="CB30" s="13" t="str">
        <f t="shared" si="4"/>
        <v/>
      </c>
      <c r="IS30" s="4"/>
      <c r="IT30" s="4"/>
      <c r="IU30" s="4"/>
      <c r="IV30" s="4"/>
      <c r="IW30" s="4"/>
      <c r="IX30" s="4"/>
      <c r="IY30" s="4"/>
    </row>
    <row r="31" spans="1:259" s="13" customFormat="1" ht="27.95" customHeight="1" x14ac:dyDescent="0.25">
      <c r="A31" s="143">
        <v>16</v>
      </c>
      <c r="B31" s="143"/>
      <c r="C31" s="144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6"/>
      <c r="U31" s="147"/>
      <c r="V31" s="148"/>
      <c r="W31" s="148"/>
      <c r="X31" s="148"/>
      <c r="Y31" s="148"/>
      <c r="Z31" s="150"/>
      <c r="AA31" s="151" t="str">
        <f t="shared" si="0"/>
        <v/>
      </c>
      <c r="AB31" s="152"/>
      <c r="AC31" s="152"/>
      <c r="AD31" s="149"/>
      <c r="AE31" s="92"/>
      <c r="AF31" s="92"/>
      <c r="AG31" s="149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3"/>
      <c r="AS31" s="94" t="str">
        <f>IF(BX31,TEXT(ROUND(AVERAGE(AG31,AJ31,AM31,AP31),CONFIGURAÇÕES!$C$15),"0"&amp;IF(CONFIGURAÇÕES!$C$15&gt;0,",","")&amp;REPT("0",CONFIGURAÇÕES!$C$15)),"-")</f>
        <v>-</v>
      </c>
      <c r="AT31" s="95"/>
      <c r="AU31" s="95"/>
      <c r="AV31" s="149"/>
      <c r="AW31" s="92"/>
      <c r="AX31" s="92"/>
      <c r="AY31" s="94" t="str">
        <f>IF(AND(BU31:BW31,NOT(BR31)),AS31,IF(AV31&lt;&gt;"",TEXT(ROUND(AVERAGE(VALUE(AS31),AV31),CONFIGURAÇÕES!$C$15),"0"&amp;IF(CONFIGURAÇÕES!$C$15&gt;0,",","")&amp;REPT("0",CONFIGURAÇÕES!$C$15)),"-"))</f>
        <v>-</v>
      </c>
      <c r="AZ31" s="95"/>
      <c r="BA31" s="95"/>
      <c r="BB31" s="89" t="str">
        <f>IF(C31&lt;&gt;"",IF(BR31,CONFIGURAÇÕES!$D$14,IF(AND(BU31,NOT(BW31)),CONFIGURAÇÕES!$E$12,IF(BS31,IF(AND(BV31),CONFIGURAÇÕES!$D$11,IF(AND(BT31),CONFIGURAÇÕES!$D$13,CONFIGURAÇÕES!$E$13)),IF(BU31,"(NOTA AF DEVE SER &gt;= "&amp;2*CONFIGURAÇÕES!$C$13-BOLETIM!AS31&amp;")",IF(COUNTIF(AG31:AR31,"&lt;&gt;")&lt;CONFIGURAÇÕES!$C$16,"(FALTA PELO MENOS UMA NOTA)","-"))))),"")</f>
        <v/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20"/>
      <c r="BO31" s="12"/>
      <c r="BR31" s="14" t="b">
        <f>AND(ISNUMBER(X31),AA31&lt;1-CONFIGURAÇÕES!C$14)</f>
        <v>0</v>
      </c>
      <c r="BS31" s="14" t="b">
        <f t="shared" si="1"/>
        <v>0</v>
      </c>
      <c r="BT31" s="14" t="b">
        <f>AND(BS31,VALUE(SUBSTITUTE($AY31,"-","0"))&gt;=CONFIGURAÇÕES!C$13)</f>
        <v>0</v>
      </c>
      <c r="BU31" s="14" t="b">
        <f t="shared" si="2"/>
        <v>0</v>
      </c>
      <c r="BV31" s="14" t="b">
        <f>AND(VALUE(SUBSTITUTE($AS31,"-","0"))&gt;=CONFIGURAÇÕES!$C$11,BU31)</f>
        <v>0</v>
      </c>
      <c r="BW31" s="14" t="b">
        <f>AND(BU31,VALUE(SUBSTITUTE($AS31,"-","0"))&gt;=CONFIGURAÇÕES!$C$12)</f>
        <v>0</v>
      </c>
      <c r="BX31" s="14" t="b">
        <f>OR(AND(ISNUMBER(AG31),ISNUMBER(AJ31),ISNUMBER(AM31),ISNUMBER(AP31),CONFIGURAÇÕES!$C$16=4),AND(ISNUMBER(AG31),ISNUMBER(AJ31),ISNUMBER(AM31),CONFIGURAÇÕES!$C$16=3),AND(ISNUMBER(AG31),ISNUMBER(AJ31),CONFIGURAÇÕES!$C$16=2),AND(ISNUMBER(AG31),CONFIGURAÇÕES!$C$16=1))</f>
        <v>0</v>
      </c>
      <c r="BY31" s="12" t="b">
        <f>OR($BB31=CONFIGURAÇÕES!$E$12,$BB31=CONFIGURAÇÕES!$E$13,$BB31=CONFIGURAÇÕES!$D$14)</f>
        <v>0</v>
      </c>
      <c r="BZ31" s="12" t="b">
        <f t="shared" si="3"/>
        <v>0</v>
      </c>
      <c r="CA31" s="15"/>
      <c r="CB31" s="13" t="str">
        <f t="shared" si="4"/>
        <v/>
      </c>
      <c r="IS31" s="4"/>
      <c r="IT31" s="4"/>
      <c r="IU31" s="4"/>
      <c r="IV31" s="4"/>
      <c r="IW31" s="4"/>
      <c r="IX31" s="4"/>
      <c r="IY31" s="4"/>
    </row>
    <row r="32" spans="1:259" ht="5.65" customHeight="1" x14ac:dyDescent="0.2">
      <c r="A32" s="23"/>
      <c r="B32" s="180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8"/>
      <c r="BO32" s="9"/>
      <c r="BP32" s="3"/>
      <c r="BQ32" s="3"/>
      <c r="BZ32" s="7"/>
      <c r="CA32" s="7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88" ht="27.95" customHeight="1" x14ac:dyDescent="0.25">
      <c r="A33" s="22"/>
      <c r="B33" s="17" t="s">
        <v>25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63" t="str">
        <f>IF(SUM(U16:U31),SUM(U16:U31),"-")</f>
        <v>-</v>
      </c>
      <c r="V33" s="163"/>
      <c r="W33" s="163"/>
      <c r="X33" s="163" t="str">
        <f>IF(SUM(X16:X31),SUM(X16:X31),"-")</f>
        <v>-</v>
      </c>
      <c r="Y33" s="163"/>
      <c r="Z33" s="163"/>
      <c r="AA33" s="181" t="str">
        <f>IF(SUM(AA16:AA31),AVERAGE(AA16:AA31),"-")</f>
        <v>-</v>
      </c>
      <c r="AB33" s="181"/>
      <c r="AC33" s="181"/>
      <c r="AD33" s="179" t="str">
        <f>IF(SUM(AD16:AD31),AVERAGE(AD16:AD31),"-")</f>
        <v>-</v>
      </c>
      <c r="AE33" s="179"/>
      <c r="AF33" s="179"/>
      <c r="AG33" s="179" t="str">
        <f>IF(SUM(AG16:AG31),AVERAGE(AG16:AG31),"-")</f>
        <v>-</v>
      </c>
      <c r="AH33" s="179"/>
      <c r="AI33" s="179"/>
      <c r="AJ33" s="179" t="str">
        <f t="shared" ref="AJ33" si="5">IF(SUM(AJ16:AJ31),AVERAGE(AJ16:AJ31),"-")</f>
        <v>-</v>
      </c>
      <c r="AK33" s="179"/>
      <c r="AL33" s="179"/>
      <c r="AM33" s="179" t="str">
        <f t="shared" ref="AM33" si="6">IF(SUM(AM16:AM31),AVERAGE(AM16:AM31),"-")</f>
        <v>-</v>
      </c>
      <c r="AN33" s="179"/>
      <c r="AO33" s="179"/>
      <c r="AP33" s="179" t="str">
        <f t="shared" ref="AP33" si="7">IF(SUM(AP16:AP31),AVERAGE(AP16:AP31),"-")</f>
        <v>-</v>
      </c>
      <c r="AQ33" s="179"/>
      <c r="AR33" s="179"/>
      <c r="AS33" s="179" t="str">
        <f>IF(SUM(BW43:BW58),ROUND(AVERAGE(BW43:BW58),CONFIGURAÇÕES!$C$15),"-")</f>
        <v>-</v>
      </c>
      <c r="AT33" s="179"/>
      <c r="AU33" s="179"/>
      <c r="AV33" s="179" t="str">
        <f>IF(SUM(AV16:AV31),AVERAGE(AV16:AV31),"-")</f>
        <v>-</v>
      </c>
      <c r="AW33" s="179"/>
      <c r="AX33" s="179"/>
      <c r="AY33" s="179" t="str">
        <f>IF(SUM(CB16:CB31),ROUND(AVERAGE(CB16:CB31),CONFIGURAÇÕES!$C$15),"-")</f>
        <v>-</v>
      </c>
      <c r="AZ33" s="179"/>
      <c r="BA33" s="179"/>
      <c r="BB33" s="182" t="s">
        <v>65</v>
      </c>
      <c r="BC33" s="182"/>
      <c r="BD33" s="182"/>
      <c r="BE33" s="182"/>
      <c r="BF33" s="182"/>
      <c r="BG33" s="182"/>
      <c r="BH33" s="182"/>
      <c r="BI33" s="182"/>
      <c r="BJ33" s="182" t="str">
        <f>IF(AY33&lt;&gt;"-",TEXT(SUMIF(CB16:CB31,"&gt;="&amp;CONFIGURAÇÕES!$C$13)*10/COUNTIF(CB16:CB31,"&gt;=0"),"0,0")&amp;"%","-")</f>
        <v>-</v>
      </c>
      <c r="BK33" s="182"/>
      <c r="BL33" s="182"/>
      <c r="BM33" s="183"/>
      <c r="BN33" s="5"/>
      <c r="BO33" s="10"/>
      <c r="BZ33" s="7"/>
      <c r="CA33" s="7"/>
    </row>
    <row r="34" spans="1:88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10"/>
      <c r="BZ34" s="7"/>
      <c r="CA34" s="7"/>
    </row>
    <row r="35" spans="1:88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10"/>
      <c r="BZ35" s="7"/>
      <c r="CA35" s="7"/>
    </row>
    <row r="36" spans="1:88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</row>
    <row r="37" spans="1:88" x14ac:dyDescent="0.2">
      <c r="A37" s="40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40"/>
    </row>
    <row r="38" spans="1:88" x14ac:dyDescent="0.2">
      <c r="A38" s="40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40"/>
    </row>
    <row r="39" spans="1:88" x14ac:dyDescent="0.2">
      <c r="A39" s="40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40"/>
      <c r="CF39" s="97" t="str">
        <f>IF(NOT(ISERR(CF42)),CF42,"")&amp;IF(NOT(ISERR(CG42)),CG42,"")&amp;IF(NOT(ISERR(CH42)),CH42,"")&amp;IF(NOT(ISERR(CI42)),CI42,"")&amp;IF(NOT(ISERR(CJ42)),CJ42,"")</f>
        <v/>
      </c>
      <c r="CG39" s="97"/>
      <c r="CH39" s="97"/>
      <c r="CI39" s="97"/>
      <c r="CJ39" s="97"/>
    </row>
    <row r="40" spans="1:88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88" x14ac:dyDescent="0.2">
      <c r="A41" s="42"/>
      <c r="B41" s="114" t="s">
        <v>28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20" t="s">
        <v>30</v>
      </c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R41" s="43" t="s">
        <v>30</v>
      </c>
      <c r="BS41" s="43" t="s">
        <v>7</v>
      </c>
      <c r="BT41" s="43" t="s">
        <v>8</v>
      </c>
      <c r="BU41" s="43" t="s">
        <v>9</v>
      </c>
      <c r="BV41" s="43" t="s">
        <v>10</v>
      </c>
      <c r="BW41" s="43" t="s">
        <v>38</v>
      </c>
      <c r="BX41" s="43" t="s">
        <v>29</v>
      </c>
      <c r="BY41" s="43" t="s">
        <v>39</v>
      </c>
      <c r="BZ41" s="43" t="s">
        <v>37</v>
      </c>
      <c r="CA41" s="43"/>
      <c r="CB41" s="43"/>
      <c r="CC41" s="43"/>
      <c r="CD41" s="43"/>
      <c r="CF41" s="2">
        <v>1</v>
      </c>
      <c r="CG41" s="2">
        <v>2</v>
      </c>
      <c r="CH41" s="2">
        <v>3</v>
      </c>
      <c r="CI41" s="2">
        <v>4</v>
      </c>
      <c r="CJ41" s="2">
        <v>5</v>
      </c>
    </row>
    <row r="42" spans="1:88" x14ac:dyDescent="0.2">
      <c r="A42" s="40"/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  <c r="O42" s="123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R42" s="43"/>
      <c r="BS42" s="43" t="str">
        <f>BOLETIM!AG14</f>
        <v>UN1</v>
      </c>
      <c r="BT42" s="43" t="str">
        <f>IF(CONFIGURAÇÕES!$C$16&lt;COLUMN(BOLETIM!BT41)-COLUMN(BOLETIM!$BR$41),"",BOLETIM!AJ14)</f>
        <v>UN2</v>
      </c>
      <c r="BU42" s="43" t="str">
        <f>IF(CONFIGURAÇÕES!$C$16&lt;COLUMN(BOLETIM!BU41)-COLUMN(BOLETIM!$BR$41),"",BOLETIM!AM14)</f>
        <v>UN3</v>
      </c>
      <c r="BV42" s="43" t="str">
        <f>IF(CONFIGURAÇÕES!$C$16&lt;COLUMN(BOLETIM!BV41)-COLUMN(BOLETIM!$BR$41),"",BOLETIM!AP14)</f>
        <v>UN4</v>
      </c>
      <c r="BW42" s="43" t="str">
        <f>BOLETIM!AY14</f>
        <v>MF</v>
      </c>
      <c r="BX42" s="43" t="s">
        <v>29</v>
      </c>
      <c r="BY42" s="43" t="s">
        <v>36</v>
      </c>
      <c r="BZ42" s="43" t="s">
        <v>31</v>
      </c>
      <c r="CA42" s="43" t="s">
        <v>32</v>
      </c>
      <c r="CB42" s="43" t="s">
        <v>33</v>
      </c>
      <c r="CC42" s="43" t="s">
        <v>34</v>
      </c>
      <c r="CD42" s="43" t="s">
        <v>35</v>
      </c>
      <c r="CF42" s="44" t="e">
        <f>RIGHT(CF43,LEN(CF43)-3)</f>
        <v>#VALUE!</v>
      </c>
      <c r="CG42" s="44" t="str">
        <f>CG43</f>
        <v/>
      </c>
      <c r="CH42" s="44" t="str">
        <f t="shared" ref="CH42:CJ42" si="8">CH43</f>
        <v/>
      </c>
      <c r="CI42" s="44" t="str">
        <f t="shared" si="8"/>
        <v/>
      </c>
      <c r="CJ42" s="44" t="str">
        <f t="shared" si="8"/>
        <v/>
      </c>
    </row>
    <row r="43" spans="1:88" x14ac:dyDescent="0.2">
      <c r="A43" s="40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8"/>
      <c r="BN43" s="40"/>
      <c r="BR43" s="43" t="str">
        <f>TRIM(BOLETIM!C16)</f>
        <v/>
      </c>
      <c r="BS43" s="45" t="str">
        <f>IF(OR($O$41=$BR$41,$O$41=BS$41),IF(ISNUMBER(BOLETIM!AG16),VALUE(BOLETIM!AG16),""),"")</f>
        <v/>
      </c>
      <c r="BT43" s="45" t="str">
        <f>IF(OR($O$41=$BR$41,$O$41=BT$41),IF(ISNUMBER(BOLETIM!AJ16),VALUE(BOLETIM!AJ16),""),"")</f>
        <v/>
      </c>
      <c r="BU43" s="45" t="str">
        <f>IF(OR($O$41=$BR$41,$O$41=BU$41),IF(ISNUMBER(BOLETIM!AM16),VALUE(BOLETIM!AM16),""),"")</f>
        <v/>
      </c>
      <c r="BV43" s="45" t="str">
        <f>IF(OR($O$41=$BR$41,$O$41=BV$41),IF(ISNUMBER(BOLETIM!AP16),VALUE(BOLETIM!AP16),""),"")</f>
        <v/>
      </c>
      <c r="BW43" s="45" t="str">
        <f t="shared" ref="BW43:BW58" si="9">IF(OR(ISNUMBER(BS43),ISNUMBER(BT43),ISNUMBER(BU43),ISNUMBER(BV43)),AVERAGE(BS43:BV43),"")</f>
        <v/>
      </c>
      <c r="BX43" s="45" t="str">
        <f>IF(ISNUMBER(BOLETIM!AD16),BOLETIM!AD16,"")</f>
        <v/>
      </c>
      <c r="BY43" s="46" t="str">
        <f>IF(ISNUMBER(BOLETIM!U16),BOLETIM!AA16,"")</f>
        <v/>
      </c>
      <c r="BZ43" s="45" t="str">
        <f>$BX43</f>
        <v/>
      </c>
      <c r="CA43" s="45" t="str">
        <f>IF(AND((CONFIGURAÇÕES!$C$16-COUNTIF($BS43:BS43,"&lt;&gt;")&gt;0),ISNUMBER($BX43)),MAX($BX43,ROUND(MIN(10,(CONFIGURAÇÕES!$C$16*$BX43-SUM($BS43:BS43))/(CONFIGURAÇÕES!$C$16-COUNTIF($BS43:BS43,"&lt;&gt;"))),CONFIGURAÇÕES!$C$15)),"")</f>
        <v/>
      </c>
      <c r="CB43" s="45" t="str">
        <f>IF(AND((CONFIGURAÇÕES!$C$16-COUNTIF($BS43:BT43,"&lt;&gt;")&gt;0),ISNUMBER($BX43)),MAX($BX43,ROUND(MIN(10,(CONFIGURAÇÕES!$C$16*$BX43-SUM($BS43:BT43))/(CONFIGURAÇÕES!$C$16-COUNTIF($BS43:BT43,"&lt;&gt;"))),CONFIGURAÇÕES!$C$15)),"")</f>
        <v/>
      </c>
      <c r="CC43" s="45" t="str">
        <f>IF(AND((CONFIGURAÇÕES!$C$16-COUNTIF($BS43:BU43,"&lt;&gt;")&gt;0),ISNUMBER($BX43)),MAX($BX43,ROUND(MIN(10,(CONFIGURAÇÕES!$C$16*$BX43-SUM($BS43:BU43))/(CONFIGURAÇÕES!$C$16-COUNTIF($BS43:BU43,"&lt;&gt;"))),CONFIGURAÇÕES!$C$15)),"")</f>
        <v/>
      </c>
      <c r="CD43" s="43" t="str">
        <f>IF(ISNUMBER(BW43),RANK(BW43,$BW$43:$BW$58),"")</f>
        <v/>
      </c>
      <c r="CF43" s="2" t="str">
        <f t="shared" ref="CF43:CF53" si="10">IF($CD43=CF$41," - "&amp;TRIM($BR43)&amp;" ("&amp;TEXT($BW43,"0,0")&amp;")","")&amp;CF44</f>
        <v/>
      </c>
      <c r="CG43" s="2" t="str">
        <f t="shared" ref="CG43:CG53" si="11">IF($CD43=CG$41," - "&amp;TRIM($BR43)&amp;" ("&amp;TEXT($BW43,"0,0")&amp;")","")&amp;CG44</f>
        <v/>
      </c>
      <c r="CH43" s="2" t="str">
        <f t="shared" ref="CH43:CH53" si="12">IF($CD43=CH$41," - "&amp;TRIM($BR43)&amp;" ("&amp;TEXT($BW43,"0,0")&amp;")","")&amp;CH44</f>
        <v/>
      </c>
      <c r="CI43" s="2" t="str">
        <f t="shared" ref="CI43:CI53" si="13">IF($CD43=CI$41," - "&amp;TRIM($BR43)&amp;" ("&amp;TEXT($BW43,"0,0")&amp;")","")&amp;CI44</f>
        <v/>
      </c>
      <c r="CJ43" s="2" t="str">
        <f t="shared" ref="CJ43:CJ53" si="14">IF($CD43=CJ$41," - "&amp;TRIM($BR43)&amp;" ("&amp;TEXT($BW43,"0,0")&amp;")","")&amp;CJ44</f>
        <v/>
      </c>
    </row>
    <row r="44" spans="1:88" x14ac:dyDescent="0.2">
      <c r="A44" s="40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1"/>
      <c r="BN44" s="40"/>
      <c r="BR44" s="43" t="str">
        <f>TRIM(BOLETIM!C17)</f>
        <v/>
      </c>
      <c r="BS44" s="45" t="str">
        <f>IF(OR($O$41=$BR$41,$O$41=BS$41),IF(ISNUMBER(BOLETIM!AG17),VALUE(BOLETIM!AG17),""),"")</f>
        <v/>
      </c>
      <c r="BT44" s="45" t="str">
        <f>IF(OR($O$41=$BR$41,$O$41=BT$41),IF(ISNUMBER(BOLETIM!AJ17),VALUE(BOLETIM!AJ17),""),"")</f>
        <v/>
      </c>
      <c r="BU44" s="45" t="str">
        <f>IF(OR($O$41=$BR$41,$O$41=BU$41),IF(ISNUMBER(BOLETIM!AM17),VALUE(BOLETIM!AM17),""),"")</f>
        <v/>
      </c>
      <c r="BV44" s="45" t="str">
        <f>IF(OR($O$41=$BR$41,$O$41=BV$41),IF(ISNUMBER(BOLETIM!AP17),VALUE(BOLETIM!AP17),""),"")</f>
        <v/>
      </c>
      <c r="BW44" s="45" t="str">
        <f t="shared" si="9"/>
        <v/>
      </c>
      <c r="BX44" s="45" t="str">
        <f>IF(ISNUMBER(BOLETIM!AD17),BOLETIM!AD17,"")</f>
        <v/>
      </c>
      <c r="BY44" s="46" t="str">
        <f>IF(ISNUMBER(BOLETIM!U17),BOLETIM!AA17,"")</f>
        <v/>
      </c>
      <c r="BZ44" s="45" t="str">
        <f t="shared" ref="BZ44:BZ58" si="15">$BX44</f>
        <v/>
      </c>
      <c r="CA44" s="45" t="str">
        <f>IF(AND((CONFIGURAÇÕES!$C$16-COUNTIF($BS44:BS44,"&lt;&gt;")&gt;0),ISNUMBER($BX44)),MAX($BX44,ROUND(MIN(10,(CONFIGURAÇÕES!$C$16*$BX44-SUM($BS44:BS44))/(CONFIGURAÇÕES!$C$16-COUNTIF($BS44:BS44,"&lt;&gt;"))),CONFIGURAÇÕES!$C$15)),"")</f>
        <v/>
      </c>
      <c r="CB44" s="45" t="str">
        <f>IF(AND((CONFIGURAÇÕES!$C$16-COUNTIF($BS44:BT44,"&lt;&gt;")&gt;0),ISNUMBER($BX44)),MAX($BX44,ROUND(MIN(10,(CONFIGURAÇÕES!$C$16*$BX44-SUM($BS44:BT44))/(CONFIGURAÇÕES!$C$16-COUNTIF($BS44:BT44,"&lt;&gt;"))),CONFIGURAÇÕES!$C$15)),"")</f>
        <v/>
      </c>
      <c r="CC44" s="45" t="str">
        <f>IF(AND((CONFIGURAÇÕES!$C$16-COUNTIF($BS44:BU44,"&lt;&gt;")&gt;0),ISNUMBER($BX44)),MAX($BX44,ROUND(MIN(10,(CONFIGURAÇÕES!$C$16*$BX44-SUM($BS44:BU44))/(CONFIGURAÇÕES!$C$16-COUNTIF($BS44:BU44,"&lt;&gt;"))),CONFIGURAÇÕES!$C$15)),"")</f>
        <v/>
      </c>
      <c r="CD44" s="43" t="str">
        <f t="shared" ref="CD44:CD58" si="16">IF(ISNUMBER(BW44),RANK(BW44,$BW$43:$BW$58),"")</f>
        <v/>
      </c>
      <c r="CF44" s="2" t="str">
        <f t="shared" si="10"/>
        <v/>
      </c>
      <c r="CG44" s="2" t="str">
        <f t="shared" si="11"/>
        <v/>
      </c>
      <c r="CH44" s="2" t="str">
        <f t="shared" si="12"/>
        <v/>
      </c>
      <c r="CI44" s="2" t="str">
        <f t="shared" si="13"/>
        <v/>
      </c>
      <c r="CJ44" s="2" t="str">
        <f t="shared" si="14"/>
        <v/>
      </c>
    </row>
    <row r="45" spans="1:88" x14ac:dyDescent="0.2">
      <c r="A45" s="40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1"/>
      <c r="BN45" s="40"/>
      <c r="BR45" s="43" t="str">
        <f>TRIM(BOLETIM!C18)</f>
        <v/>
      </c>
      <c r="BS45" s="45" t="str">
        <f>IF(OR($O$41=$BR$41,$O$41=BS$41),IF(ISNUMBER(BOLETIM!AG18),VALUE(BOLETIM!AG18),""),"")</f>
        <v/>
      </c>
      <c r="BT45" s="45" t="str">
        <f>IF(OR($O$41=$BR$41,$O$41=BT$41),IF(ISNUMBER(BOLETIM!AJ18),VALUE(BOLETIM!AJ18),""),"")</f>
        <v/>
      </c>
      <c r="BU45" s="45" t="str">
        <f>IF(OR($O$41=$BR$41,$O$41=BU$41),IF(ISNUMBER(BOLETIM!AM18),VALUE(BOLETIM!AM18),""),"")</f>
        <v/>
      </c>
      <c r="BV45" s="45" t="str">
        <f>IF(OR($O$41=$BR$41,$O$41=BV$41),IF(ISNUMBER(BOLETIM!AP18),VALUE(BOLETIM!AP18),""),"")</f>
        <v/>
      </c>
      <c r="BW45" s="45" t="str">
        <f t="shared" si="9"/>
        <v/>
      </c>
      <c r="BX45" s="45" t="str">
        <f>IF(ISNUMBER(BOLETIM!AD18),BOLETIM!AD18,"")</f>
        <v/>
      </c>
      <c r="BY45" s="46" t="str">
        <f>IF(ISNUMBER(BOLETIM!U18),BOLETIM!AA18,"")</f>
        <v/>
      </c>
      <c r="BZ45" s="45" t="str">
        <f t="shared" si="15"/>
        <v/>
      </c>
      <c r="CA45" s="45" t="str">
        <f>IF(AND((CONFIGURAÇÕES!$C$16-COUNTIF($BS45:BS45,"&lt;&gt;")&gt;0),ISNUMBER($BX45)),MAX($BX45,ROUND(MIN(10,(CONFIGURAÇÕES!$C$16*$BX45-SUM($BS45:BS45))/(CONFIGURAÇÕES!$C$16-COUNTIF($BS45:BS45,"&lt;&gt;"))),CONFIGURAÇÕES!$C$15)),"")</f>
        <v/>
      </c>
      <c r="CB45" s="45" t="str">
        <f>IF(AND((CONFIGURAÇÕES!$C$16-COUNTIF($BS45:BT45,"&lt;&gt;")&gt;0),ISNUMBER($BX45)),MAX($BX45,ROUND(MIN(10,(CONFIGURAÇÕES!$C$16*$BX45-SUM($BS45:BT45))/(CONFIGURAÇÕES!$C$16-COUNTIF($BS45:BT45,"&lt;&gt;"))),CONFIGURAÇÕES!$C$15)),"")</f>
        <v/>
      </c>
      <c r="CC45" s="45" t="str">
        <f>IF(AND((CONFIGURAÇÕES!$C$16-COUNTIF($BS45:BU45,"&lt;&gt;")&gt;0),ISNUMBER($BX45)),MAX($BX45,ROUND(MIN(10,(CONFIGURAÇÕES!$C$16*$BX45-SUM($BS45:BU45))/(CONFIGURAÇÕES!$C$16-COUNTIF($BS45:BU45,"&lt;&gt;"))),CONFIGURAÇÕES!$C$15)),"")</f>
        <v/>
      </c>
      <c r="CD45" s="43" t="str">
        <f t="shared" si="16"/>
        <v/>
      </c>
      <c r="CF45" s="2" t="str">
        <f t="shared" si="10"/>
        <v/>
      </c>
      <c r="CG45" s="2" t="str">
        <f t="shared" si="11"/>
        <v/>
      </c>
      <c r="CH45" s="2" t="str">
        <f t="shared" si="12"/>
        <v/>
      </c>
      <c r="CI45" s="2" t="str">
        <f t="shared" si="13"/>
        <v/>
      </c>
      <c r="CJ45" s="2" t="str">
        <f t="shared" si="14"/>
        <v/>
      </c>
    </row>
    <row r="46" spans="1:88" x14ac:dyDescent="0.2">
      <c r="A46" s="40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1"/>
      <c r="BN46" s="40"/>
      <c r="BR46" s="43" t="str">
        <f>TRIM(BOLETIM!C19)</f>
        <v/>
      </c>
      <c r="BS46" s="45" t="str">
        <f>IF(OR($O$41=$BR$41,$O$41=BS$41),IF(ISNUMBER(BOLETIM!AG19),VALUE(BOLETIM!AG19),""),"")</f>
        <v/>
      </c>
      <c r="BT46" s="45" t="str">
        <f>IF(OR($O$41=$BR$41,$O$41=BT$41),IF(ISNUMBER(BOLETIM!AJ19),VALUE(BOLETIM!AJ19),""),"")</f>
        <v/>
      </c>
      <c r="BU46" s="45" t="str">
        <f>IF(OR($O$41=$BR$41,$O$41=BU$41),IF(ISNUMBER(BOLETIM!AM19),VALUE(BOLETIM!AM19),""),"")</f>
        <v/>
      </c>
      <c r="BV46" s="45" t="str">
        <f>IF(OR($O$41=$BR$41,$O$41=BV$41),IF(ISNUMBER(BOLETIM!AP19),VALUE(BOLETIM!AP19),""),"")</f>
        <v/>
      </c>
      <c r="BW46" s="45" t="str">
        <f t="shared" si="9"/>
        <v/>
      </c>
      <c r="BX46" s="45" t="str">
        <f>IF(ISNUMBER(BOLETIM!AD19),BOLETIM!AD19,"")</f>
        <v/>
      </c>
      <c r="BY46" s="46" t="str">
        <f>IF(ISNUMBER(BOLETIM!U19),BOLETIM!AA19,"")</f>
        <v/>
      </c>
      <c r="BZ46" s="45" t="str">
        <f t="shared" si="15"/>
        <v/>
      </c>
      <c r="CA46" s="45" t="str">
        <f>IF(AND((CONFIGURAÇÕES!$C$16-COUNTIF($BS46:BS46,"&lt;&gt;")&gt;0),ISNUMBER($BX46)),MAX($BX46,ROUND(MIN(10,(CONFIGURAÇÕES!$C$16*$BX46-SUM($BS46:BS46))/(CONFIGURAÇÕES!$C$16-COUNTIF($BS46:BS46,"&lt;&gt;"))),CONFIGURAÇÕES!$C$15)),"")</f>
        <v/>
      </c>
      <c r="CB46" s="45" t="str">
        <f>IF(AND((CONFIGURAÇÕES!$C$16-COUNTIF($BS46:BT46,"&lt;&gt;")&gt;0),ISNUMBER($BX46)),MAX($BX46,ROUND(MIN(10,(CONFIGURAÇÕES!$C$16*$BX46-SUM($BS46:BT46))/(CONFIGURAÇÕES!$C$16-COUNTIF($BS46:BT46,"&lt;&gt;"))),CONFIGURAÇÕES!$C$15)),"")</f>
        <v/>
      </c>
      <c r="CC46" s="45" t="str">
        <f>IF(AND((CONFIGURAÇÕES!$C$16-COUNTIF($BS46:BU46,"&lt;&gt;")&gt;0),ISNUMBER($BX46)),MAX($BX46,ROUND(MIN(10,(CONFIGURAÇÕES!$C$16*$BX46-SUM($BS46:BU46))/(CONFIGURAÇÕES!$C$16-COUNTIF($BS46:BU46,"&lt;&gt;"))),CONFIGURAÇÕES!$C$15)),"")</f>
        <v/>
      </c>
      <c r="CD46" s="43" t="str">
        <f t="shared" si="16"/>
        <v/>
      </c>
      <c r="CF46" s="2" t="str">
        <f t="shared" si="10"/>
        <v/>
      </c>
      <c r="CG46" s="2" t="str">
        <f t="shared" si="11"/>
        <v/>
      </c>
      <c r="CH46" s="2" t="str">
        <f t="shared" si="12"/>
        <v/>
      </c>
      <c r="CI46" s="2" t="str">
        <f t="shared" si="13"/>
        <v/>
      </c>
      <c r="CJ46" s="2" t="str">
        <f t="shared" si="14"/>
        <v/>
      </c>
    </row>
    <row r="47" spans="1:88" x14ac:dyDescent="0.2">
      <c r="A47" s="40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1"/>
      <c r="BN47" s="40"/>
      <c r="BR47" s="43" t="str">
        <f>TRIM(BOLETIM!C20)</f>
        <v/>
      </c>
      <c r="BS47" s="45" t="str">
        <f>IF(OR($O$41=$BR$41,$O$41=BS$41),IF(ISNUMBER(BOLETIM!AG20),VALUE(BOLETIM!AG20),""),"")</f>
        <v/>
      </c>
      <c r="BT47" s="45" t="str">
        <f>IF(OR($O$41=$BR$41,$O$41=BT$41),IF(ISNUMBER(BOLETIM!AJ20),VALUE(BOLETIM!AJ20),""),"")</f>
        <v/>
      </c>
      <c r="BU47" s="45" t="str">
        <f>IF(OR($O$41=$BR$41,$O$41=BU$41),IF(ISNUMBER(BOLETIM!AM20),VALUE(BOLETIM!AM20),""),"")</f>
        <v/>
      </c>
      <c r="BV47" s="45" t="str">
        <f>IF(OR($O$41=$BR$41,$O$41=BV$41),IF(ISNUMBER(BOLETIM!AP20),VALUE(BOLETIM!AP20),""),"")</f>
        <v/>
      </c>
      <c r="BW47" s="45" t="str">
        <f t="shared" si="9"/>
        <v/>
      </c>
      <c r="BX47" s="45" t="str">
        <f>IF(ISNUMBER(BOLETIM!AD20),BOLETIM!AD20,"")</f>
        <v/>
      </c>
      <c r="BY47" s="46" t="str">
        <f>IF(ISNUMBER(BOLETIM!U20),BOLETIM!AA20,"")</f>
        <v/>
      </c>
      <c r="BZ47" s="45" t="str">
        <f t="shared" si="15"/>
        <v/>
      </c>
      <c r="CA47" s="45" t="str">
        <f>IF(AND((CONFIGURAÇÕES!$C$16-COUNTIF($BS47:BS47,"&lt;&gt;")&gt;0),ISNUMBER($BX47)),MAX($BX47,ROUND(MIN(10,(CONFIGURAÇÕES!$C$16*$BX47-SUM($BS47:BS47))/(CONFIGURAÇÕES!$C$16-COUNTIF($BS47:BS47,"&lt;&gt;"))),CONFIGURAÇÕES!$C$15)),"")</f>
        <v/>
      </c>
      <c r="CB47" s="45" t="str">
        <f>IF(AND((CONFIGURAÇÕES!$C$16-COUNTIF($BS47:BT47,"&lt;&gt;")&gt;0),ISNUMBER($BX47)),MAX($BX47,ROUND(MIN(10,(CONFIGURAÇÕES!$C$16*$BX47-SUM($BS47:BT47))/(CONFIGURAÇÕES!$C$16-COUNTIF($BS47:BT47,"&lt;&gt;"))),CONFIGURAÇÕES!$C$15)),"")</f>
        <v/>
      </c>
      <c r="CC47" s="45" t="str">
        <f>IF(AND((CONFIGURAÇÕES!$C$16-COUNTIF($BS47:BU47,"&lt;&gt;")&gt;0),ISNUMBER($BX47)),MAX($BX47,ROUND(MIN(10,(CONFIGURAÇÕES!$C$16*$BX47-SUM($BS47:BU47))/(CONFIGURAÇÕES!$C$16-COUNTIF($BS47:BU47,"&lt;&gt;"))),CONFIGURAÇÕES!$C$15)),"")</f>
        <v/>
      </c>
      <c r="CD47" s="43" t="str">
        <f t="shared" si="16"/>
        <v/>
      </c>
      <c r="CF47" s="2" t="str">
        <f t="shared" si="10"/>
        <v/>
      </c>
      <c r="CG47" s="2" t="str">
        <f t="shared" si="11"/>
        <v/>
      </c>
      <c r="CH47" s="2" t="str">
        <f t="shared" si="12"/>
        <v/>
      </c>
      <c r="CI47" s="2" t="str">
        <f t="shared" si="13"/>
        <v/>
      </c>
      <c r="CJ47" s="2" t="str">
        <f t="shared" si="14"/>
        <v/>
      </c>
    </row>
    <row r="48" spans="1:88" x14ac:dyDescent="0.2">
      <c r="A48" s="40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1"/>
      <c r="BN48" s="40"/>
      <c r="BR48" s="43" t="str">
        <f>TRIM(BOLETIM!C21)</f>
        <v/>
      </c>
      <c r="BS48" s="45" t="str">
        <f>IF(OR($O$41=$BR$41,$O$41=BS$41),IF(ISNUMBER(BOLETIM!AG21),VALUE(BOLETIM!AG21),""),"")</f>
        <v/>
      </c>
      <c r="BT48" s="45" t="str">
        <f>IF(OR($O$41=$BR$41,$O$41=BT$41),IF(ISNUMBER(BOLETIM!AJ21),VALUE(BOLETIM!AJ21),""),"")</f>
        <v/>
      </c>
      <c r="BU48" s="45" t="str">
        <f>IF(OR($O$41=$BR$41,$O$41=BU$41),IF(ISNUMBER(BOLETIM!AM21),VALUE(BOLETIM!AM21),""),"")</f>
        <v/>
      </c>
      <c r="BV48" s="45" t="str">
        <f>IF(OR($O$41=$BR$41,$O$41=BV$41),IF(ISNUMBER(BOLETIM!AP21),VALUE(BOLETIM!AP21),""),"")</f>
        <v/>
      </c>
      <c r="BW48" s="45" t="str">
        <f t="shared" si="9"/>
        <v/>
      </c>
      <c r="BX48" s="45" t="str">
        <f>IF(ISNUMBER(BOLETIM!AD21),BOLETIM!AD21,"")</f>
        <v/>
      </c>
      <c r="BY48" s="46" t="str">
        <f>IF(ISNUMBER(BOLETIM!U21),BOLETIM!AA21,"")</f>
        <v/>
      </c>
      <c r="BZ48" s="45" t="str">
        <f t="shared" si="15"/>
        <v/>
      </c>
      <c r="CA48" s="45" t="str">
        <f>IF(AND((CONFIGURAÇÕES!$C$16-COUNTIF($BS48:BS48,"&lt;&gt;")&gt;0),ISNUMBER($BX48)),MAX($BX48,ROUND(MIN(10,(CONFIGURAÇÕES!$C$16*$BX48-SUM($BS48:BS48))/(CONFIGURAÇÕES!$C$16-COUNTIF($BS48:BS48,"&lt;&gt;"))),CONFIGURAÇÕES!$C$15)),"")</f>
        <v/>
      </c>
      <c r="CB48" s="45" t="str">
        <f>IF(AND((CONFIGURAÇÕES!$C$16-COUNTIF($BS48:BT48,"&lt;&gt;")&gt;0),ISNUMBER($BX48)),MAX($BX48,ROUND(MIN(10,(CONFIGURAÇÕES!$C$16*$BX48-SUM($BS48:BT48))/(CONFIGURAÇÕES!$C$16-COUNTIF($BS48:BT48,"&lt;&gt;"))),CONFIGURAÇÕES!$C$15)),"")</f>
        <v/>
      </c>
      <c r="CC48" s="45" t="str">
        <f>IF(AND((CONFIGURAÇÕES!$C$16-COUNTIF($BS48:BU48,"&lt;&gt;")&gt;0),ISNUMBER($BX48)),MAX($BX48,ROUND(MIN(10,(CONFIGURAÇÕES!$C$16*$BX48-SUM($BS48:BU48))/(CONFIGURAÇÕES!$C$16-COUNTIF($BS48:BU48,"&lt;&gt;"))),CONFIGURAÇÕES!$C$15)),"")</f>
        <v/>
      </c>
      <c r="CD48" s="43" t="str">
        <f t="shared" si="16"/>
        <v/>
      </c>
      <c r="CF48" s="2" t="str">
        <f t="shared" si="10"/>
        <v/>
      </c>
      <c r="CG48" s="2" t="str">
        <f t="shared" si="11"/>
        <v/>
      </c>
      <c r="CH48" s="2" t="str">
        <f t="shared" si="12"/>
        <v/>
      </c>
      <c r="CI48" s="2" t="str">
        <f t="shared" si="13"/>
        <v/>
      </c>
      <c r="CJ48" s="2" t="str">
        <f t="shared" si="14"/>
        <v/>
      </c>
    </row>
    <row r="49" spans="1:88" x14ac:dyDescent="0.2">
      <c r="A49" s="40"/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1"/>
      <c r="BN49" s="40"/>
      <c r="BR49" s="43" t="str">
        <f>TRIM(BOLETIM!C22)</f>
        <v/>
      </c>
      <c r="BS49" s="45" t="str">
        <f>IF(OR($O$41=$BR$41,$O$41=BS$41),IF(ISNUMBER(BOLETIM!AG22),VALUE(BOLETIM!AG22),""),"")</f>
        <v/>
      </c>
      <c r="BT49" s="45" t="str">
        <f>IF(OR($O$41=$BR$41,$O$41=BT$41),IF(ISNUMBER(BOLETIM!AJ22),VALUE(BOLETIM!AJ22),""),"")</f>
        <v/>
      </c>
      <c r="BU49" s="45" t="str">
        <f>IF(OR($O$41=$BR$41,$O$41=BU$41),IF(ISNUMBER(BOLETIM!AM22),VALUE(BOLETIM!AM22),""),"")</f>
        <v/>
      </c>
      <c r="BV49" s="45" t="str">
        <f>IF(OR($O$41=$BR$41,$O$41=BV$41),IF(ISNUMBER(BOLETIM!AP22),VALUE(BOLETIM!AP22),""),"")</f>
        <v/>
      </c>
      <c r="BW49" s="45" t="str">
        <f t="shared" si="9"/>
        <v/>
      </c>
      <c r="BX49" s="45" t="str">
        <f>IF(ISNUMBER(BOLETIM!AD22),BOLETIM!AD22,"")</f>
        <v/>
      </c>
      <c r="BY49" s="46" t="str">
        <f>IF(ISNUMBER(BOLETIM!U22),BOLETIM!AA22,"")</f>
        <v/>
      </c>
      <c r="BZ49" s="45" t="str">
        <f t="shared" si="15"/>
        <v/>
      </c>
      <c r="CA49" s="45" t="str">
        <f>IF(AND((CONFIGURAÇÕES!$C$16-COUNTIF($BS49:BS49,"&lt;&gt;")&gt;0),ISNUMBER($BX49)),MAX($BX49,ROUND(MIN(10,(CONFIGURAÇÕES!$C$16*$BX49-SUM($BS49:BS49))/(CONFIGURAÇÕES!$C$16-COUNTIF($BS49:BS49,"&lt;&gt;"))),CONFIGURAÇÕES!$C$15)),"")</f>
        <v/>
      </c>
      <c r="CB49" s="45" t="str">
        <f>IF(AND((CONFIGURAÇÕES!$C$16-COUNTIF($BS49:BT49,"&lt;&gt;")&gt;0),ISNUMBER($BX49)),MAX($BX49,ROUND(MIN(10,(CONFIGURAÇÕES!$C$16*$BX49-SUM($BS49:BT49))/(CONFIGURAÇÕES!$C$16-COUNTIF($BS49:BT49,"&lt;&gt;"))),CONFIGURAÇÕES!$C$15)),"")</f>
        <v/>
      </c>
      <c r="CC49" s="45" t="str">
        <f>IF(AND((CONFIGURAÇÕES!$C$16-COUNTIF($BS49:BU49,"&lt;&gt;")&gt;0),ISNUMBER($BX49)),MAX($BX49,ROUND(MIN(10,(CONFIGURAÇÕES!$C$16*$BX49-SUM($BS49:BU49))/(CONFIGURAÇÕES!$C$16-COUNTIF($BS49:BU49,"&lt;&gt;"))),CONFIGURAÇÕES!$C$15)),"")</f>
        <v/>
      </c>
      <c r="CD49" s="43" t="str">
        <f t="shared" si="16"/>
        <v/>
      </c>
      <c r="CF49" s="2" t="str">
        <f t="shared" si="10"/>
        <v/>
      </c>
      <c r="CG49" s="2" t="str">
        <f t="shared" si="11"/>
        <v/>
      </c>
      <c r="CH49" s="2" t="str">
        <f t="shared" si="12"/>
        <v/>
      </c>
      <c r="CI49" s="2" t="str">
        <f t="shared" si="13"/>
        <v/>
      </c>
      <c r="CJ49" s="2" t="str">
        <f t="shared" si="14"/>
        <v/>
      </c>
    </row>
    <row r="50" spans="1:88" x14ac:dyDescent="0.2">
      <c r="A50" s="40"/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1"/>
      <c r="BN50" s="40"/>
      <c r="BR50" s="43" t="str">
        <f>TRIM(BOLETIM!C23)</f>
        <v/>
      </c>
      <c r="BS50" s="45" t="str">
        <f>IF(OR($O$41=$BR$41,$O$41=BS$41),IF(ISNUMBER(BOLETIM!AG23),VALUE(BOLETIM!AG23),""),"")</f>
        <v/>
      </c>
      <c r="BT50" s="45" t="str">
        <f>IF(OR($O$41=$BR$41,$O$41=BT$41),IF(ISNUMBER(BOLETIM!AJ23),VALUE(BOLETIM!AJ23),""),"")</f>
        <v/>
      </c>
      <c r="BU50" s="45" t="str">
        <f>IF(OR($O$41=$BR$41,$O$41=BU$41),IF(ISNUMBER(BOLETIM!AM23),VALUE(BOLETIM!AM23),""),"")</f>
        <v/>
      </c>
      <c r="BV50" s="45" t="str">
        <f>IF(OR($O$41=$BR$41,$O$41=BV$41),IF(ISNUMBER(BOLETIM!AP23),VALUE(BOLETIM!AP23),""),"")</f>
        <v/>
      </c>
      <c r="BW50" s="45" t="str">
        <f t="shared" si="9"/>
        <v/>
      </c>
      <c r="BX50" s="45" t="str">
        <f>IF(ISNUMBER(BOLETIM!AD23),BOLETIM!AD23,"")</f>
        <v/>
      </c>
      <c r="BY50" s="46" t="str">
        <f>IF(ISNUMBER(BOLETIM!U23),BOLETIM!AA23,"")</f>
        <v/>
      </c>
      <c r="BZ50" s="45" t="str">
        <f t="shared" si="15"/>
        <v/>
      </c>
      <c r="CA50" s="45" t="str">
        <f>IF(AND((CONFIGURAÇÕES!$C$16-COUNTIF($BS50:BS50,"&lt;&gt;")&gt;0),ISNUMBER($BX50)),MAX($BX50,ROUND(MIN(10,(CONFIGURAÇÕES!$C$16*$BX50-SUM($BS50:BS50))/(CONFIGURAÇÕES!$C$16-COUNTIF($BS50:BS50,"&lt;&gt;"))),CONFIGURAÇÕES!$C$15)),"")</f>
        <v/>
      </c>
      <c r="CB50" s="45" t="str">
        <f>IF(AND((CONFIGURAÇÕES!$C$16-COUNTIF($BS50:BT50,"&lt;&gt;")&gt;0),ISNUMBER($BX50)),MAX($BX50,ROUND(MIN(10,(CONFIGURAÇÕES!$C$16*$BX50-SUM($BS50:BT50))/(CONFIGURAÇÕES!$C$16-COUNTIF($BS50:BT50,"&lt;&gt;"))),CONFIGURAÇÕES!$C$15)),"")</f>
        <v/>
      </c>
      <c r="CC50" s="45" t="str">
        <f>IF(AND((CONFIGURAÇÕES!$C$16-COUNTIF($BS50:BU50,"&lt;&gt;")&gt;0),ISNUMBER($BX50)),MAX($BX50,ROUND(MIN(10,(CONFIGURAÇÕES!$C$16*$BX50-SUM($BS50:BU50))/(CONFIGURAÇÕES!$C$16-COUNTIF($BS50:BU50,"&lt;&gt;"))),CONFIGURAÇÕES!$C$15)),"")</f>
        <v/>
      </c>
      <c r="CD50" s="43" t="str">
        <f t="shared" si="16"/>
        <v/>
      </c>
      <c r="CF50" s="2" t="str">
        <f t="shared" si="10"/>
        <v/>
      </c>
      <c r="CG50" s="2" t="str">
        <f t="shared" si="11"/>
        <v/>
      </c>
      <c r="CH50" s="2" t="str">
        <f t="shared" si="12"/>
        <v/>
      </c>
      <c r="CI50" s="2" t="str">
        <f t="shared" si="13"/>
        <v/>
      </c>
      <c r="CJ50" s="2" t="str">
        <f t="shared" si="14"/>
        <v/>
      </c>
    </row>
    <row r="51" spans="1:88" x14ac:dyDescent="0.2">
      <c r="A51" s="40"/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1"/>
      <c r="BN51" s="40"/>
      <c r="BR51" s="43" t="str">
        <f>TRIM(BOLETIM!C24)</f>
        <v/>
      </c>
      <c r="BS51" s="45" t="str">
        <f>IF(OR($O$41=$BR$41,$O$41=BS$41),IF(ISNUMBER(BOLETIM!AG24),VALUE(BOLETIM!AG24),""),"")</f>
        <v/>
      </c>
      <c r="BT51" s="45" t="str">
        <f>IF(OR($O$41=$BR$41,$O$41=BT$41),IF(ISNUMBER(BOLETIM!AJ24),VALUE(BOLETIM!AJ24),""),"")</f>
        <v/>
      </c>
      <c r="BU51" s="45" t="str">
        <f>IF(OR($O$41=$BR$41,$O$41=BU$41),IF(ISNUMBER(BOLETIM!AM24),VALUE(BOLETIM!AM24),""),"")</f>
        <v/>
      </c>
      <c r="BV51" s="45" t="str">
        <f>IF(OR($O$41=$BR$41,$O$41=BV$41),IF(ISNUMBER(BOLETIM!AP24),VALUE(BOLETIM!AP24),""),"")</f>
        <v/>
      </c>
      <c r="BW51" s="45" t="str">
        <f t="shared" si="9"/>
        <v/>
      </c>
      <c r="BX51" s="45" t="str">
        <f>IF(ISNUMBER(BOLETIM!AD24),BOLETIM!AD24,"")</f>
        <v/>
      </c>
      <c r="BY51" s="46" t="str">
        <f>IF(ISNUMBER(BOLETIM!U24),BOLETIM!AA24,"")</f>
        <v/>
      </c>
      <c r="BZ51" s="45" t="str">
        <f t="shared" si="15"/>
        <v/>
      </c>
      <c r="CA51" s="45" t="str">
        <f>IF(AND((CONFIGURAÇÕES!$C$16-COUNTIF($BS51:BS51,"&lt;&gt;")&gt;0),ISNUMBER($BX51)),MAX($BX51,ROUND(MIN(10,(CONFIGURAÇÕES!$C$16*$BX51-SUM($BS51:BS51))/(CONFIGURAÇÕES!$C$16-COUNTIF($BS51:BS51,"&lt;&gt;"))),CONFIGURAÇÕES!$C$15)),"")</f>
        <v/>
      </c>
      <c r="CB51" s="45" t="str">
        <f>IF(AND((CONFIGURAÇÕES!$C$16-COUNTIF($BS51:BT51,"&lt;&gt;")&gt;0),ISNUMBER($BX51)),MAX($BX51,ROUND(MIN(10,(CONFIGURAÇÕES!$C$16*$BX51-SUM($BS51:BT51))/(CONFIGURAÇÕES!$C$16-COUNTIF($BS51:BT51,"&lt;&gt;"))),CONFIGURAÇÕES!$C$15)),"")</f>
        <v/>
      </c>
      <c r="CC51" s="45" t="str">
        <f>IF(AND((CONFIGURAÇÕES!$C$16-COUNTIF($BS51:BU51,"&lt;&gt;")&gt;0),ISNUMBER($BX51)),MAX($BX51,ROUND(MIN(10,(CONFIGURAÇÕES!$C$16*$BX51-SUM($BS51:BU51))/(CONFIGURAÇÕES!$C$16-COUNTIF($BS51:BU51,"&lt;&gt;"))),CONFIGURAÇÕES!$C$15)),"")</f>
        <v/>
      </c>
      <c r="CD51" s="43" t="str">
        <f t="shared" si="16"/>
        <v/>
      </c>
      <c r="CF51" s="2" t="str">
        <f t="shared" si="10"/>
        <v/>
      </c>
      <c r="CG51" s="2" t="str">
        <f t="shared" si="11"/>
        <v/>
      </c>
      <c r="CH51" s="2" t="str">
        <f t="shared" si="12"/>
        <v/>
      </c>
      <c r="CI51" s="2" t="str">
        <f t="shared" si="13"/>
        <v/>
      </c>
      <c r="CJ51" s="2" t="str">
        <f t="shared" si="14"/>
        <v/>
      </c>
    </row>
    <row r="52" spans="1:88" x14ac:dyDescent="0.2">
      <c r="A52" s="40"/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1"/>
      <c r="BN52" s="40"/>
      <c r="BR52" s="43" t="str">
        <f>TRIM(BOLETIM!C25)</f>
        <v/>
      </c>
      <c r="BS52" s="45" t="str">
        <f>IF(OR($O$41=$BR$41,$O$41=BS$41),IF(ISNUMBER(BOLETIM!AG25),VALUE(BOLETIM!AG25),""),"")</f>
        <v/>
      </c>
      <c r="BT52" s="45" t="str">
        <f>IF(OR($O$41=$BR$41,$O$41=BT$41),IF(ISNUMBER(BOLETIM!AJ25),VALUE(BOLETIM!AJ25),""),"")</f>
        <v/>
      </c>
      <c r="BU52" s="45" t="str">
        <f>IF(OR($O$41=$BR$41,$O$41=BU$41),IF(ISNUMBER(BOLETIM!AM25),VALUE(BOLETIM!AM25),""),"")</f>
        <v/>
      </c>
      <c r="BV52" s="45" t="str">
        <f>IF(OR($O$41=$BR$41,$O$41=BV$41),IF(ISNUMBER(BOLETIM!AP25),VALUE(BOLETIM!AP25),""),"")</f>
        <v/>
      </c>
      <c r="BW52" s="45" t="str">
        <f t="shared" si="9"/>
        <v/>
      </c>
      <c r="BX52" s="45" t="str">
        <f>IF(ISNUMBER(BOLETIM!AD25),BOLETIM!AD25,"")</f>
        <v/>
      </c>
      <c r="BY52" s="46" t="str">
        <f>IF(ISNUMBER(BOLETIM!U25),BOLETIM!AA25,"")</f>
        <v/>
      </c>
      <c r="BZ52" s="45" t="str">
        <f t="shared" si="15"/>
        <v/>
      </c>
      <c r="CA52" s="45" t="str">
        <f>IF(AND((CONFIGURAÇÕES!$C$16-COUNTIF($BS52:BS52,"&lt;&gt;")&gt;0),ISNUMBER($BX52)),MAX($BX52,ROUND(MIN(10,(CONFIGURAÇÕES!$C$16*$BX52-SUM($BS52:BS52))/(CONFIGURAÇÕES!$C$16-COUNTIF($BS52:BS52,"&lt;&gt;"))),CONFIGURAÇÕES!$C$15)),"")</f>
        <v/>
      </c>
      <c r="CB52" s="45" t="str">
        <f>IF(AND((CONFIGURAÇÕES!$C$16-COUNTIF($BS52:BT52,"&lt;&gt;")&gt;0),ISNUMBER($BX52)),MAX($BX52,ROUND(MIN(10,(CONFIGURAÇÕES!$C$16*$BX52-SUM($BS52:BT52))/(CONFIGURAÇÕES!$C$16-COUNTIF($BS52:BT52,"&lt;&gt;"))),CONFIGURAÇÕES!$C$15)),"")</f>
        <v/>
      </c>
      <c r="CC52" s="45" t="str">
        <f>IF(AND((CONFIGURAÇÕES!$C$16-COUNTIF($BS52:BU52,"&lt;&gt;")&gt;0),ISNUMBER($BX52)),MAX($BX52,ROUND(MIN(10,(CONFIGURAÇÕES!$C$16*$BX52-SUM($BS52:BU52))/(CONFIGURAÇÕES!$C$16-COUNTIF($BS52:BU52,"&lt;&gt;"))),CONFIGURAÇÕES!$C$15)),"")</f>
        <v/>
      </c>
      <c r="CD52" s="43" t="str">
        <f t="shared" si="16"/>
        <v/>
      </c>
      <c r="CF52" s="2" t="str">
        <f t="shared" si="10"/>
        <v/>
      </c>
      <c r="CG52" s="2" t="str">
        <f t="shared" si="11"/>
        <v/>
      </c>
      <c r="CH52" s="2" t="str">
        <f t="shared" si="12"/>
        <v/>
      </c>
      <c r="CI52" s="2" t="str">
        <f t="shared" si="13"/>
        <v/>
      </c>
      <c r="CJ52" s="2" t="str">
        <f t="shared" si="14"/>
        <v/>
      </c>
    </row>
    <row r="53" spans="1:88" x14ac:dyDescent="0.2">
      <c r="A53" s="40"/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1"/>
      <c r="BN53" s="40"/>
      <c r="BR53" s="43" t="str">
        <f>TRIM(BOLETIM!C26)</f>
        <v/>
      </c>
      <c r="BS53" s="45" t="str">
        <f>IF(OR($O$41=$BR$41,$O$41=BS$41),IF(ISNUMBER(BOLETIM!AG26),VALUE(BOLETIM!AG26),""),"")</f>
        <v/>
      </c>
      <c r="BT53" s="45" t="str">
        <f>IF(OR($O$41=$BR$41,$O$41=BT$41),IF(ISNUMBER(BOLETIM!AJ26),VALUE(BOLETIM!AJ26),""),"")</f>
        <v/>
      </c>
      <c r="BU53" s="45" t="str">
        <f>IF(OR($O$41=$BR$41,$O$41=BU$41),IF(ISNUMBER(BOLETIM!AM26),VALUE(BOLETIM!AM26),""),"")</f>
        <v/>
      </c>
      <c r="BV53" s="45" t="str">
        <f>IF(OR($O$41=$BR$41,$O$41=BV$41),IF(ISNUMBER(BOLETIM!AP26),VALUE(BOLETIM!AP26),""),"")</f>
        <v/>
      </c>
      <c r="BW53" s="45" t="str">
        <f t="shared" si="9"/>
        <v/>
      </c>
      <c r="BX53" s="45" t="str">
        <f>IF(ISNUMBER(BOLETIM!AD26),BOLETIM!AD26,"")</f>
        <v/>
      </c>
      <c r="BY53" s="46" t="str">
        <f>IF(ISNUMBER(BOLETIM!U26),BOLETIM!AA26,"")</f>
        <v/>
      </c>
      <c r="BZ53" s="45" t="str">
        <f t="shared" si="15"/>
        <v/>
      </c>
      <c r="CA53" s="45" t="str">
        <f>IF(AND((CONFIGURAÇÕES!$C$16-COUNTIF($BS53:BS53,"&lt;&gt;")&gt;0),ISNUMBER($BX53)),MAX($BX53,ROUND(MIN(10,(CONFIGURAÇÕES!$C$16*$BX53-SUM($BS53:BS53))/(CONFIGURAÇÕES!$C$16-COUNTIF($BS53:BS53,"&lt;&gt;"))),CONFIGURAÇÕES!$C$15)),"")</f>
        <v/>
      </c>
      <c r="CB53" s="45" t="str">
        <f>IF(AND((CONFIGURAÇÕES!$C$16-COUNTIF($BS53:BT53,"&lt;&gt;")&gt;0),ISNUMBER($BX53)),MAX($BX53,ROUND(MIN(10,(CONFIGURAÇÕES!$C$16*$BX53-SUM($BS53:BT53))/(CONFIGURAÇÕES!$C$16-COUNTIF($BS53:BT53,"&lt;&gt;"))),CONFIGURAÇÕES!$C$15)),"")</f>
        <v/>
      </c>
      <c r="CC53" s="45" t="str">
        <f>IF(AND((CONFIGURAÇÕES!$C$16-COUNTIF($BS53:BU53,"&lt;&gt;")&gt;0),ISNUMBER($BX53)),MAX($BX53,ROUND(MIN(10,(CONFIGURAÇÕES!$C$16*$BX53-SUM($BS53:BU53))/(CONFIGURAÇÕES!$C$16-COUNTIF($BS53:BU53,"&lt;&gt;"))),CONFIGURAÇÕES!$C$15)),"")</f>
        <v/>
      </c>
      <c r="CD53" s="43" t="str">
        <f t="shared" si="16"/>
        <v/>
      </c>
      <c r="CF53" s="2" t="str">
        <f t="shared" si="10"/>
        <v/>
      </c>
      <c r="CG53" s="2" t="str">
        <f t="shared" si="11"/>
        <v/>
      </c>
      <c r="CH53" s="2" t="str">
        <f t="shared" si="12"/>
        <v/>
      </c>
      <c r="CI53" s="2" t="str">
        <f t="shared" si="13"/>
        <v/>
      </c>
      <c r="CJ53" s="2" t="str">
        <f t="shared" si="14"/>
        <v/>
      </c>
    </row>
    <row r="54" spans="1:88" x14ac:dyDescent="0.2">
      <c r="A54" s="40"/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1"/>
      <c r="BN54" s="40"/>
      <c r="BR54" s="43" t="str">
        <f>TRIM(BOLETIM!C27)</f>
        <v/>
      </c>
      <c r="BS54" s="45" t="str">
        <f>IF(OR($O$41=$BR$41,$O$41=BS$41),IF(ISNUMBER(BOLETIM!AG27),VALUE(BOLETIM!AG27),""),"")</f>
        <v/>
      </c>
      <c r="BT54" s="45" t="str">
        <f>IF(OR($O$41=$BR$41,$O$41=BT$41),IF(ISNUMBER(BOLETIM!AJ27),VALUE(BOLETIM!AJ27),""),"")</f>
        <v/>
      </c>
      <c r="BU54" s="45" t="str">
        <f>IF(OR($O$41=$BR$41,$O$41=BU$41),IF(ISNUMBER(BOLETIM!AM27),VALUE(BOLETIM!AM27),""),"")</f>
        <v/>
      </c>
      <c r="BV54" s="45" t="str">
        <f>IF(OR($O$41=$BR$41,$O$41=BV$41),IF(ISNUMBER(BOLETIM!AP27),VALUE(BOLETIM!AP27),""),"")</f>
        <v/>
      </c>
      <c r="BW54" s="45" t="str">
        <f t="shared" si="9"/>
        <v/>
      </c>
      <c r="BX54" s="45" t="str">
        <f>IF(ISNUMBER(BOLETIM!AD27),BOLETIM!AD27,"")</f>
        <v/>
      </c>
      <c r="BY54" s="46" t="str">
        <f>IF(ISNUMBER(BOLETIM!U27),BOLETIM!AA27,"")</f>
        <v/>
      </c>
      <c r="BZ54" s="45" t="str">
        <f t="shared" si="15"/>
        <v/>
      </c>
      <c r="CA54" s="45" t="str">
        <f>IF(AND((CONFIGURAÇÕES!$C$16-COUNTIF($BS54:BS54,"&lt;&gt;")&gt;0),ISNUMBER($BX54)),MAX($BX54,ROUND(MIN(10,(CONFIGURAÇÕES!$C$16*$BX54-SUM($BS54:BS54))/(CONFIGURAÇÕES!$C$16-COUNTIF($BS54:BS54,"&lt;&gt;"))),CONFIGURAÇÕES!$C$15)),"")</f>
        <v/>
      </c>
      <c r="CB54" s="45" t="str">
        <f>IF(AND((CONFIGURAÇÕES!$C$16-COUNTIF($BS54:BT54,"&lt;&gt;")&gt;0),ISNUMBER($BX54)),MAX($BX54,ROUND(MIN(10,(CONFIGURAÇÕES!$C$16*$BX54-SUM($BS54:BT54))/(CONFIGURAÇÕES!$C$16-COUNTIF($BS54:BT54,"&lt;&gt;"))),CONFIGURAÇÕES!$C$15)),"")</f>
        <v/>
      </c>
      <c r="CC54" s="45" t="str">
        <f>IF(AND((CONFIGURAÇÕES!$C$16-COUNTIF($BS54:BU54,"&lt;&gt;")&gt;0),ISNUMBER($BX54)),MAX($BX54,ROUND(MIN(10,(CONFIGURAÇÕES!$C$16*$BX54-SUM($BS54:BU54))/(CONFIGURAÇÕES!$C$16-COUNTIF($BS54:BU54,"&lt;&gt;"))),CONFIGURAÇÕES!$C$15)),"")</f>
        <v/>
      </c>
      <c r="CD54" s="43" t="str">
        <f t="shared" si="16"/>
        <v/>
      </c>
      <c r="CF54" s="2" t="str">
        <f>IF($CD54=CF$41," - "&amp;TRIM($BR54)&amp;" ("&amp;TEXT($BW54,"0,0")&amp;")","")&amp;CF59</f>
        <v/>
      </c>
      <c r="CG54" s="2" t="str">
        <f>IF($CD54=CG$41," - "&amp;TRIM($BR54)&amp;" ("&amp;TEXT($BW54,"0,0")&amp;")","")&amp;CG59</f>
        <v/>
      </c>
      <c r="CH54" s="2" t="str">
        <f>IF($CD54=CH$41," - "&amp;TRIM($BR54)&amp;" ("&amp;TEXT($BW54,"0,0")&amp;")","")&amp;CH59</f>
        <v/>
      </c>
      <c r="CI54" s="2" t="str">
        <f>IF($CD54=CI$41," - "&amp;TRIM($BR54)&amp;" ("&amp;TEXT($BW54,"0,0")&amp;")","")&amp;CI59</f>
        <v/>
      </c>
      <c r="CJ54" s="2" t="str">
        <f>IF($CD54=CJ$41," - "&amp;TRIM($BR54)&amp;" ("&amp;TEXT($BW54,"0,0")&amp;")","")&amp;CJ59</f>
        <v/>
      </c>
    </row>
    <row r="55" spans="1:88" x14ac:dyDescent="0.2">
      <c r="A55" s="40"/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1"/>
      <c r="BN55" s="40"/>
      <c r="BR55" s="43" t="str">
        <f>TRIM(BOLETIM!C28)</f>
        <v/>
      </c>
      <c r="BS55" s="45" t="str">
        <f>IF(OR($O$41=$BR$41,$O$41=BS$41),IF(ISNUMBER(BOLETIM!AG28),VALUE(BOLETIM!AG28),""),"")</f>
        <v/>
      </c>
      <c r="BT55" s="45" t="str">
        <f>IF(OR($O$41=$BR$41,$O$41=BT$41),IF(ISNUMBER(BOLETIM!AJ28),VALUE(BOLETIM!AJ28),""),"")</f>
        <v/>
      </c>
      <c r="BU55" s="45" t="str">
        <f>IF(OR($O$41=$BR$41,$O$41=BU$41),IF(ISNUMBER(BOLETIM!AM28),VALUE(BOLETIM!AM28),""),"")</f>
        <v/>
      </c>
      <c r="BV55" s="45" t="str">
        <f>IF(OR($O$41=$BR$41,$O$41=BV$41),IF(ISNUMBER(BOLETIM!AP28),VALUE(BOLETIM!AP28),""),"")</f>
        <v/>
      </c>
      <c r="BW55" s="45" t="str">
        <f t="shared" si="9"/>
        <v/>
      </c>
      <c r="BX55" s="45" t="str">
        <f>IF(ISNUMBER(BOLETIM!AD28),BOLETIM!AD28,"")</f>
        <v/>
      </c>
      <c r="BY55" s="46" t="str">
        <f>IF(ISNUMBER(BOLETIM!U28),BOLETIM!AA28,"")</f>
        <v/>
      </c>
      <c r="BZ55" s="45" t="str">
        <f t="shared" si="15"/>
        <v/>
      </c>
      <c r="CA55" s="45" t="str">
        <f>IF(AND((CONFIGURAÇÕES!$C$16-COUNTIF($BS55:BS55,"&lt;&gt;")&gt;0),ISNUMBER($BX55)),MAX($BX55,ROUND(MIN(10,(CONFIGURAÇÕES!$C$16*$BX55-SUM($BS55:BS55))/(CONFIGURAÇÕES!$C$16-COUNTIF($BS55:BS55,"&lt;&gt;"))),CONFIGURAÇÕES!$C$15)),"")</f>
        <v/>
      </c>
      <c r="CB55" s="45" t="str">
        <f>IF(AND((CONFIGURAÇÕES!$C$16-COUNTIF($BS55:BT55,"&lt;&gt;")&gt;0),ISNUMBER($BX55)),MAX($BX55,ROUND(MIN(10,(CONFIGURAÇÕES!$C$16*$BX55-SUM($BS55:BT55))/(CONFIGURAÇÕES!$C$16-COUNTIF($BS55:BT55,"&lt;&gt;"))),CONFIGURAÇÕES!$C$15)),"")</f>
        <v/>
      </c>
      <c r="CC55" s="45" t="str">
        <f>IF(AND((CONFIGURAÇÕES!$C$16-COUNTIF($BS55:BU55,"&lt;&gt;")&gt;0),ISNUMBER($BX55)),MAX($BX55,ROUND(MIN(10,(CONFIGURAÇÕES!$C$16*$BX55-SUM($BS55:BU55))/(CONFIGURAÇÕES!$C$16-COUNTIF($BS55:BU55,"&lt;&gt;"))),CONFIGURAÇÕES!$C$15)),"")</f>
        <v/>
      </c>
      <c r="CD55" s="43" t="str">
        <f t="shared" si="16"/>
        <v/>
      </c>
    </row>
    <row r="56" spans="1:88" x14ac:dyDescent="0.2">
      <c r="A56" s="40"/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1"/>
      <c r="BN56" s="40"/>
      <c r="BR56" s="43" t="str">
        <f>TRIM(BOLETIM!C29)</f>
        <v/>
      </c>
      <c r="BS56" s="45" t="str">
        <f>IF(OR($O$41=$BR$41,$O$41=BS$41),IF(ISNUMBER(BOLETIM!AG29),VALUE(BOLETIM!AG29),""),"")</f>
        <v/>
      </c>
      <c r="BT56" s="45" t="str">
        <f>IF(OR($O$41=$BR$41,$O$41=BT$41),IF(ISNUMBER(BOLETIM!AJ29),VALUE(BOLETIM!AJ29),""),"")</f>
        <v/>
      </c>
      <c r="BU56" s="45" t="str">
        <f>IF(OR($O$41=$BR$41,$O$41=BU$41),IF(ISNUMBER(BOLETIM!AM29),VALUE(BOLETIM!AM29),""),"")</f>
        <v/>
      </c>
      <c r="BV56" s="45" t="str">
        <f>IF(OR($O$41=$BR$41,$O$41=BV$41),IF(ISNUMBER(BOLETIM!AP29),VALUE(BOLETIM!AP29),""),"")</f>
        <v/>
      </c>
      <c r="BW56" s="45" t="str">
        <f t="shared" si="9"/>
        <v/>
      </c>
      <c r="BX56" s="45" t="str">
        <f>IF(ISNUMBER(BOLETIM!AD29),BOLETIM!AD29,"")</f>
        <v/>
      </c>
      <c r="BY56" s="46" t="str">
        <f>IF(ISNUMBER(BOLETIM!U29),BOLETIM!AA29,"")</f>
        <v/>
      </c>
      <c r="BZ56" s="45" t="str">
        <f t="shared" si="15"/>
        <v/>
      </c>
      <c r="CA56" s="45" t="str">
        <f>IF(AND((CONFIGURAÇÕES!$C$16-COUNTIF($BS56:BS56,"&lt;&gt;")&gt;0),ISNUMBER($BX56)),MAX($BX56,ROUND(MIN(10,(CONFIGURAÇÕES!$C$16*$BX56-SUM($BS56:BS56))/(CONFIGURAÇÕES!$C$16-COUNTIF($BS56:BS56,"&lt;&gt;"))),CONFIGURAÇÕES!$C$15)),"")</f>
        <v/>
      </c>
      <c r="CB56" s="45" t="str">
        <f>IF(AND((CONFIGURAÇÕES!$C$16-COUNTIF($BS56:BT56,"&lt;&gt;")&gt;0),ISNUMBER($BX56)),MAX($BX56,ROUND(MIN(10,(CONFIGURAÇÕES!$C$16*$BX56-SUM($BS56:BT56))/(CONFIGURAÇÕES!$C$16-COUNTIF($BS56:BT56,"&lt;&gt;"))),CONFIGURAÇÕES!$C$15)),"")</f>
        <v/>
      </c>
      <c r="CC56" s="45" t="str">
        <f>IF(AND((CONFIGURAÇÕES!$C$16-COUNTIF($BS56:BU56,"&lt;&gt;")&gt;0),ISNUMBER($BX56)),MAX($BX56,ROUND(MIN(10,(CONFIGURAÇÕES!$C$16*$BX56-SUM($BS56:BU56))/(CONFIGURAÇÕES!$C$16-COUNTIF($BS56:BU56,"&lt;&gt;"))),CONFIGURAÇÕES!$C$15)),"")</f>
        <v/>
      </c>
      <c r="CD56" s="43" t="str">
        <f t="shared" si="16"/>
        <v/>
      </c>
    </row>
    <row r="57" spans="1:88" x14ac:dyDescent="0.2">
      <c r="A57" s="40"/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1"/>
      <c r="BN57" s="40"/>
      <c r="BR57" s="43" t="str">
        <f>TRIM(BOLETIM!C30)</f>
        <v/>
      </c>
      <c r="BS57" s="45" t="str">
        <f>IF(OR($O$41=$BR$41,$O$41=BS$41),IF(ISNUMBER(BOLETIM!AG30),VALUE(BOLETIM!AG30),""),"")</f>
        <v/>
      </c>
      <c r="BT57" s="45" t="str">
        <f>IF(OR($O$41=$BR$41,$O$41=BT$41),IF(ISNUMBER(BOLETIM!AJ30),VALUE(BOLETIM!AJ30),""),"")</f>
        <v/>
      </c>
      <c r="BU57" s="45" t="str">
        <f>IF(OR($O$41=$BR$41,$O$41=BU$41),IF(ISNUMBER(BOLETIM!AM30),VALUE(BOLETIM!AM30),""),"")</f>
        <v/>
      </c>
      <c r="BV57" s="45" t="str">
        <f>IF(OR($O$41=$BR$41,$O$41=BV$41),IF(ISNUMBER(BOLETIM!AP30),VALUE(BOLETIM!AP30),""),"")</f>
        <v/>
      </c>
      <c r="BW57" s="45" t="str">
        <f t="shared" si="9"/>
        <v/>
      </c>
      <c r="BX57" s="45" t="str">
        <f>IF(ISNUMBER(BOLETIM!AD30),BOLETIM!AD30,"")</f>
        <v/>
      </c>
      <c r="BY57" s="46" t="str">
        <f>IF(ISNUMBER(BOLETIM!U30),BOLETIM!AA30,"")</f>
        <v/>
      </c>
      <c r="BZ57" s="45" t="str">
        <f t="shared" si="15"/>
        <v/>
      </c>
      <c r="CA57" s="45" t="str">
        <f>IF(AND((CONFIGURAÇÕES!$C$16-COUNTIF($BS57:BS57,"&lt;&gt;")&gt;0),ISNUMBER($BX57)),MAX($BX57,ROUND(MIN(10,(CONFIGURAÇÕES!$C$16*$BX57-SUM($BS57:BS57))/(CONFIGURAÇÕES!$C$16-COUNTIF($BS57:BS57,"&lt;&gt;"))),CONFIGURAÇÕES!$C$15)),"")</f>
        <v/>
      </c>
      <c r="CB57" s="45" t="str">
        <f>IF(AND((CONFIGURAÇÕES!$C$16-COUNTIF($BS57:BT57,"&lt;&gt;")&gt;0),ISNUMBER($BX57)),MAX($BX57,ROUND(MIN(10,(CONFIGURAÇÕES!$C$16*$BX57-SUM($BS57:BT57))/(CONFIGURAÇÕES!$C$16-COUNTIF($BS57:BT57,"&lt;&gt;"))),CONFIGURAÇÕES!$C$15)),"")</f>
        <v/>
      </c>
      <c r="CC57" s="45" t="str">
        <f>IF(AND((CONFIGURAÇÕES!$C$16-COUNTIF($BS57:BU57,"&lt;&gt;")&gt;0),ISNUMBER($BX57)),MAX($BX57,ROUND(MIN(10,(CONFIGURAÇÕES!$C$16*$BX57-SUM($BS57:BU57))/(CONFIGURAÇÕES!$C$16-COUNTIF($BS57:BU57,"&lt;&gt;"))),CONFIGURAÇÕES!$C$15)),"")</f>
        <v/>
      </c>
      <c r="CD57" s="43" t="str">
        <f t="shared" si="16"/>
        <v/>
      </c>
    </row>
    <row r="58" spans="1:88" x14ac:dyDescent="0.2">
      <c r="A58" s="40"/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1"/>
      <c r="BN58" s="40"/>
      <c r="BR58" s="43" t="str">
        <f>TRIM(BOLETIM!C31)</f>
        <v/>
      </c>
      <c r="BS58" s="45" t="str">
        <f>IF(OR($O$41=$BR$41,$O$41=BS$41),IF(ISNUMBER(BOLETIM!AG31),VALUE(BOLETIM!AG31),""),"")</f>
        <v/>
      </c>
      <c r="BT58" s="45" t="str">
        <f>IF(OR($O$41=$BR$41,$O$41=BT$41),IF(ISNUMBER(BOLETIM!AJ31),VALUE(BOLETIM!AJ31),""),"")</f>
        <v/>
      </c>
      <c r="BU58" s="45" t="str">
        <f>IF(OR($O$41=$BR$41,$O$41=BU$41),IF(ISNUMBER(BOLETIM!AM31),VALUE(BOLETIM!AM31),""),"")</f>
        <v/>
      </c>
      <c r="BV58" s="45" t="str">
        <f>IF(OR($O$41=$BR$41,$O$41=BV$41),IF(ISNUMBER(BOLETIM!AP31),VALUE(BOLETIM!AP31),""),"")</f>
        <v/>
      </c>
      <c r="BW58" s="45" t="str">
        <f t="shared" si="9"/>
        <v/>
      </c>
      <c r="BX58" s="45" t="str">
        <f>IF(ISNUMBER(BOLETIM!AD31),BOLETIM!AD31,"")</f>
        <v/>
      </c>
      <c r="BY58" s="46" t="str">
        <f>IF(ISNUMBER(BOLETIM!U31),BOLETIM!AA31,"")</f>
        <v/>
      </c>
      <c r="BZ58" s="45" t="str">
        <f t="shared" si="15"/>
        <v/>
      </c>
      <c r="CA58" s="45" t="str">
        <f>IF(AND((CONFIGURAÇÕES!$C$16-COUNTIF($BS58:BS58,"&lt;&gt;")&gt;0),ISNUMBER($BX58)),MAX($BX58,ROUND(MIN(10,(CONFIGURAÇÕES!$C$16*$BX58-SUM($BS58:BS58))/(CONFIGURAÇÕES!$C$16-COUNTIF($BS58:BS58,"&lt;&gt;"))),CONFIGURAÇÕES!$C$15)),"")</f>
        <v/>
      </c>
      <c r="CB58" s="45" t="str">
        <f>IF(AND((CONFIGURAÇÕES!$C$16-COUNTIF($BS58:BT58,"&lt;&gt;")&gt;0),ISNUMBER($BX58)),MAX($BX58,ROUND(MIN(10,(CONFIGURAÇÕES!$C$16*$BX58-SUM($BS58:BT58))/(CONFIGURAÇÕES!$C$16-COUNTIF($BS58:BT58,"&lt;&gt;"))),CONFIGURAÇÕES!$C$15)),"")</f>
        <v/>
      </c>
      <c r="CC58" s="45" t="str">
        <f>IF(AND((CONFIGURAÇÕES!$C$16-COUNTIF($BS58:BU58,"&lt;&gt;")&gt;0),ISNUMBER($BX58)),MAX($BX58,ROUND(MIN(10,(CONFIGURAÇÕES!$C$16*$BX58-SUM($BS58:BU58))/(CONFIGURAÇÕES!$C$16-COUNTIF($BS58:BU58,"&lt;&gt;"))),CONFIGURAÇÕES!$C$15)),"")</f>
        <v/>
      </c>
      <c r="CD58" s="43" t="str">
        <f t="shared" si="16"/>
        <v/>
      </c>
    </row>
    <row r="59" spans="1:88" x14ac:dyDescent="0.2">
      <c r="A59" s="40"/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1"/>
      <c r="BN59" s="40"/>
      <c r="CF59" s="2" t="str">
        <f t="shared" ref="CF59:CJ62" si="17">IF($CD55=CF$41," - "&amp;TRIM($BR55)&amp;" ("&amp;TEXT($BW55,"0,0")&amp;")","")&amp;CF60</f>
        <v/>
      </c>
      <c r="CG59" s="2" t="str">
        <f t="shared" si="17"/>
        <v/>
      </c>
      <c r="CH59" s="2" t="str">
        <f t="shared" si="17"/>
        <v/>
      </c>
      <c r="CI59" s="2" t="str">
        <f t="shared" si="17"/>
        <v/>
      </c>
      <c r="CJ59" s="2" t="str">
        <f t="shared" si="17"/>
        <v/>
      </c>
    </row>
    <row r="60" spans="1:88" x14ac:dyDescent="0.2">
      <c r="A60" s="40"/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1"/>
      <c r="BN60" s="40"/>
      <c r="CF60" s="2" t="str">
        <f t="shared" si="17"/>
        <v/>
      </c>
      <c r="CG60" s="2" t="str">
        <f t="shared" si="17"/>
        <v/>
      </c>
      <c r="CH60" s="2" t="str">
        <f t="shared" si="17"/>
        <v/>
      </c>
      <c r="CI60" s="2" t="str">
        <f t="shared" si="17"/>
        <v/>
      </c>
      <c r="CJ60" s="2" t="str">
        <f t="shared" si="17"/>
        <v/>
      </c>
    </row>
    <row r="61" spans="1:88" x14ac:dyDescent="0.2">
      <c r="A61" s="40"/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1"/>
      <c r="BN61" s="40"/>
      <c r="CF61" s="2" t="str">
        <f t="shared" si="17"/>
        <v/>
      </c>
      <c r="CG61" s="2" t="str">
        <f t="shared" si="17"/>
        <v/>
      </c>
      <c r="CH61" s="2" t="str">
        <f t="shared" si="17"/>
        <v/>
      </c>
      <c r="CI61" s="2" t="str">
        <f t="shared" si="17"/>
        <v/>
      </c>
      <c r="CJ61" s="2" t="str">
        <f t="shared" si="17"/>
        <v/>
      </c>
    </row>
    <row r="62" spans="1:88" x14ac:dyDescent="0.2">
      <c r="A62" s="40"/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1"/>
      <c r="BN62" s="40"/>
      <c r="CF62" s="2" t="str">
        <f t="shared" si="17"/>
        <v/>
      </c>
      <c r="CG62" s="2" t="str">
        <f t="shared" si="17"/>
        <v/>
      </c>
      <c r="CH62" s="2" t="str">
        <f t="shared" si="17"/>
        <v/>
      </c>
      <c r="CI62" s="2" t="str">
        <f t="shared" si="17"/>
        <v/>
      </c>
      <c r="CJ62" s="2" t="str">
        <f t="shared" si="17"/>
        <v/>
      </c>
    </row>
    <row r="63" spans="1:88" x14ac:dyDescent="0.2">
      <c r="A63" s="40"/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1"/>
      <c r="BN63" s="40"/>
    </row>
    <row r="64" spans="1:88" x14ac:dyDescent="0.2">
      <c r="A64" s="40"/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1"/>
      <c r="BN64" s="40"/>
    </row>
    <row r="65" spans="1:66" x14ac:dyDescent="0.2">
      <c r="A65" s="40"/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1"/>
      <c r="BN65" s="40"/>
    </row>
    <row r="66" spans="1:66" x14ac:dyDescent="0.2">
      <c r="A66" s="40"/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1"/>
      <c r="BN66" s="40"/>
    </row>
    <row r="67" spans="1:66" x14ac:dyDescent="0.2">
      <c r="A67" s="40"/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1"/>
      <c r="BN67" s="40"/>
    </row>
    <row r="68" spans="1:66" x14ac:dyDescent="0.2">
      <c r="A68" s="40"/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1"/>
      <c r="BN68" s="40"/>
    </row>
    <row r="69" spans="1:66" x14ac:dyDescent="0.2">
      <c r="A69" s="40"/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1"/>
      <c r="BN69" s="40"/>
    </row>
    <row r="70" spans="1:66" x14ac:dyDescent="0.2">
      <c r="A70" s="40"/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1"/>
      <c r="BN70" s="40"/>
    </row>
    <row r="71" spans="1:66" x14ac:dyDescent="0.2">
      <c r="A71" s="40"/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1"/>
      <c r="BN71" s="40"/>
    </row>
    <row r="72" spans="1:66" x14ac:dyDescent="0.2">
      <c r="A72" s="40"/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1"/>
      <c r="BN72" s="40"/>
    </row>
    <row r="73" spans="1:66" x14ac:dyDescent="0.2">
      <c r="A73" s="40"/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1"/>
      <c r="BN73" s="40"/>
    </row>
    <row r="74" spans="1:66" x14ac:dyDescent="0.2">
      <c r="A74" s="40"/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1"/>
      <c r="BN74" s="40"/>
    </row>
    <row r="75" spans="1:66" x14ac:dyDescent="0.2">
      <c r="A75" s="40"/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1"/>
      <c r="BN75" s="40"/>
    </row>
    <row r="76" spans="1:66" x14ac:dyDescent="0.2">
      <c r="A76" s="40"/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1"/>
      <c r="BN76" s="40"/>
    </row>
    <row r="77" spans="1:66" x14ac:dyDescent="0.2">
      <c r="A77" s="40"/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1"/>
      <c r="BN77" s="40"/>
    </row>
    <row r="78" spans="1:66" x14ac:dyDescent="0.2">
      <c r="A78" s="40"/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1"/>
      <c r="BN78" s="40"/>
    </row>
    <row r="79" spans="1:66" x14ac:dyDescent="0.2">
      <c r="A79" s="40"/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1"/>
      <c r="BN79" s="40"/>
    </row>
    <row r="80" spans="1:66" x14ac:dyDescent="0.2">
      <c r="A80" s="40"/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1"/>
      <c r="BN80" s="40"/>
    </row>
    <row r="81" spans="1:66" x14ac:dyDescent="0.2">
      <c r="A81" s="40"/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1"/>
      <c r="BN81" s="40"/>
    </row>
    <row r="82" spans="1:66" x14ac:dyDescent="0.2">
      <c r="A82" s="40"/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1"/>
      <c r="BN82" s="40"/>
    </row>
    <row r="83" spans="1:66" x14ac:dyDescent="0.2">
      <c r="A83" s="40"/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1"/>
      <c r="BN83" s="40"/>
    </row>
    <row r="84" spans="1:66" x14ac:dyDescent="0.2">
      <c r="A84" s="40"/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1"/>
      <c r="BN84" s="40"/>
    </row>
    <row r="85" spans="1:66" x14ac:dyDescent="0.2">
      <c r="A85" s="40"/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1"/>
      <c r="BN85" s="40"/>
    </row>
    <row r="86" spans="1:66" x14ac:dyDescent="0.2">
      <c r="A86" s="40"/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1"/>
      <c r="BN86" s="40"/>
    </row>
    <row r="87" spans="1:66" x14ac:dyDescent="0.2">
      <c r="A87" s="40"/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1"/>
      <c r="BN87" s="40"/>
    </row>
    <row r="88" spans="1:66" x14ac:dyDescent="0.2">
      <c r="A88" s="40"/>
      <c r="B88" s="132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4"/>
      <c r="BN88" s="40"/>
    </row>
    <row r="89" spans="1:66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</row>
    <row r="90" spans="1:66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</row>
    <row r="91" spans="1:66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</row>
    <row r="92" spans="1:66" x14ac:dyDescent="0.2">
      <c r="A92" s="40"/>
      <c r="B92" s="113" t="str">
        <f>"GRÁFICO DE ACOMPANHAMENTO DE METAS POR DISCIPLINA - "&amp;O41</f>
        <v>GRÁFICO DE ACOMPANHAMENTO DE METAS POR DISCIPLINA - TODAS AS UNIDADES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40"/>
    </row>
    <row r="93" spans="1:66" x14ac:dyDescent="0.2">
      <c r="A93" s="40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40"/>
    </row>
    <row r="94" spans="1:66" x14ac:dyDescent="0.2">
      <c r="A94" s="40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40"/>
    </row>
    <row r="95" spans="1:66" x14ac:dyDescent="0.2">
      <c r="A95" s="40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40"/>
    </row>
    <row r="96" spans="1:66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</row>
    <row r="97" spans="1:66" x14ac:dyDescent="0.2">
      <c r="A97" s="40"/>
      <c r="B97" s="101" t="s">
        <v>40</v>
      </c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3"/>
      <c r="R97" s="107" t="str">
        <f>CF39</f>
        <v/>
      </c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9"/>
      <c r="BN97" s="40"/>
    </row>
    <row r="98" spans="1:66" x14ac:dyDescent="0.2">
      <c r="A98" s="40"/>
      <c r="B98" s="104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6"/>
      <c r="R98" s="110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2"/>
      <c r="BN98" s="40"/>
    </row>
    <row r="99" spans="1:66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</row>
    <row r="100" spans="1:66" x14ac:dyDescent="0.2">
      <c r="A100" s="47"/>
      <c r="B100" s="65" t="str">
        <f ca="1">HYPERLINK("#BOLETIM!"&amp;ADDRESS(ROW(BOLETIM!$A$16),COLUMN(BOLETIM!$A$16)),TRIM(INDIRECT("BOLETIM!"&amp;ADDRESS(ROW(BOLETIM!$A$16),COLUMN(BOLETIM!$A$16)+2))))</f>
        <v/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5" t="str">
        <f ca="1">HYPERLINK("#BOLETIM!"&amp;ADDRESS(ROW(BOLETIM!$A$16)+1,COLUMN(BOLETIM!$A$16)),TRIM(INDIRECT("BOLETIM!"&amp;ADDRESS(ROW(BOLETIM!$A$16)+1,COLUMN(BOLETIM!$A$16)+2))))</f>
        <v/>
      </c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5" t="str">
        <f ca="1">HYPERLINK("#BOLETIM!"&amp;ADDRESS(ROW(BOLETIM!$A$16)+2,COLUMN(BOLETIM!$A$16)),TRIM(INDIRECT("BOLETIM!"&amp;ADDRESS(ROW(BOLETIM!$A$16)+2,COLUMN(BOLETIM!$A$16)+2))))</f>
        <v/>
      </c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5" t="str">
        <f ca="1">HYPERLINK("#BOLETIM!"&amp;ADDRESS(ROW(BOLETIM!$A$16)+3,COLUMN(BOLETIM!$A$16)),TRIM(INDIRECT("BOLETIM!"&amp;ADDRESS(ROW(BOLETIM!$A$16)+3,COLUMN(BOLETIM!$A$16)+2))))</f>
        <v/>
      </c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40"/>
    </row>
    <row r="101" spans="1:66" x14ac:dyDescent="0.2">
      <c r="A101" s="47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40"/>
    </row>
    <row r="102" spans="1:66" x14ac:dyDescent="0.2">
      <c r="A102" s="47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40"/>
    </row>
    <row r="103" spans="1:66" x14ac:dyDescent="0.2">
      <c r="A103" s="47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40"/>
    </row>
    <row r="104" spans="1:66" x14ac:dyDescent="0.2">
      <c r="A104" s="47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40"/>
    </row>
    <row r="105" spans="1:66" x14ac:dyDescent="0.2">
      <c r="A105" s="47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40"/>
    </row>
    <row r="106" spans="1:66" x14ac:dyDescent="0.2">
      <c r="A106" s="47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40"/>
    </row>
    <row r="107" spans="1:66" x14ac:dyDescent="0.2">
      <c r="A107" s="47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40"/>
    </row>
    <row r="108" spans="1:66" x14ac:dyDescent="0.2">
      <c r="A108" s="47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40"/>
    </row>
    <row r="109" spans="1:66" x14ac:dyDescent="0.2">
      <c r="A109" s="47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40"/>
    </row>
    <row r="110" spans="1:66" x14ac:dyDescent="0.2">
      <c r="A110" s="47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40"/>
    </row>
    <row r="111" spans="1:66" x14ac:dyDescent="0.2">
      <c r="A111" s="47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40"/>
    </row>
    <row r="112" spans="1:66" x14ac:dyDescent="0.2">
      <c r="A112" s="47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40"/>
    </row>
    <row r="113" spans="1:66" x14ac:dyDescent="0.2">
      <c r="A113" s="47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40"/>
    </row>
    <row r="114" spans="1:66" x14ac:dyDescent="0.2">
      <c r="A114" s="47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40"/>
    </row>
    <row r="115" spans="1:66" x14ac:dyDescent="0.2">
      <c r="A115" s="47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40"/>
    </row>
    <row r="116" spans="1:66" x14ac:dyDescent="0.2">
      <c r="A116" s="47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40"/>
    </row>
    <row r="117" spans="1:66" x14ac:dyDescent="0.2">
      <c r="A117" s="47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40"/>
    </row>
    <row r="118" spans="1:66" x14ac:dyDescent="0.2">
      <c r="A118" s="47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40"/>
    </row>
    <row r="119" spans="1:66" x14ac:dyDescent="0.2">
      <c r="A119" s="47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40"/>
    </row>
    <row r="120" spans="1:66" x14ac:dyDescent="0.2">
      <c r="A120" s="47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40"/>
    </row>
    <row r="121" spans="1:66" x14ac:dyDescent="0.2">
      <c r="A121" s="47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40"/>
    </row>
    <row r="122" spans="1:66" x14ac:dyDescent="0.2">
      <c r="A122" s="47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40"/>
    </row>
    <row r="123" spans="1:66" x14ac:dyDescent="0.2">
      <c r="A123" s="47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40"/>
    </row>
    <row r="124" spans="1:66" x14ac:dyDescent="0.2">
      <c r="A124" s="47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0"/>
    </row>
    <row r="125" spans="1:66" x14ac:dyDescent="0.2">
      <c r="A125" s="47"/>
      <c r="B125" s="65" t="str">
        <f ca="1">HYPERLINK("#BOLETIM!"&amp;ADDRESS(ROW(BOLETIM!$A$16)+4,COLUMN(BOLETIM!$A$16)),TRIM(INDIRECT("BOLETIM!"&amp;ADDRESS(ROW(BOLETIM!$A$16)+4,COLUMN(BOLETIM!$A$16)+2))))</f>
        <v/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5" t="str">
        <f ca="1">HYPERLINK("#BOLETIM!"&amp;ADDRESS(ROW(BOLETIM!$A$16)+5,COLUMN(BOLETIM!$A$16)),TRIM(INDIRECT("BOLETIM!"&amp;ADDRESS(ROW(BOLETIM!$A$16)+5,COLUMN(BOLETIM!$A$16)+2))))</f>
        <v/>
      </c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5" t="str">
        <f ca="1">HYPERLINK("#BOLETIM!"&amp;ADDRESS(ROW(BOLETIM!$A$16)+6,COLUMN(BOLETIM!$A$16)),TRIM(INDIRECT("BOLETIM!"&amp;ADDRESS(ROW(BOLETIM!$A$16)+6,COLUMN(BOLETIM!$A$16)+2))))</f>
        <v/>
      </c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5" t="str">
        <f ca="1">HYPERLINK("#BOLETIM!"&amp;ADDRESS(ROW(BOLETIM!$A$16)+7,COLUMN(BOLETIM!$A$16)),TRIM(INDIRECT("BOLETIM!"&amp;ADDRESS(ROW(BOLETIM!$A$16)+7,COLUMN(BOLETIM!$A$16)+2))))</f>
        <v/>
      </c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40"/>
    </row>
    <row r="126" spans="1:66" x14ac:dyDescent="0.2">
      <c r="A126" s="4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40"/>
    </row>
    <row r="127" spans="1:66" x14ac:dyDescent="0.2">
      <c r="A127" s="47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40"/>
    </row>
    <row r="128" spans="1:66" x14ac:dyDescent="0.2">
      <c r="A128" s="47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40"/>
    </row>
    <row r="129" spans="1:66" x14ac:dyDescent="0.2">
      <c r="A129" s="47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40"/>
    </row>
    <row r="130" spans="1:66" x14ac:dyDescent="0.2">
      <c r="A130" s="47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40"/>
    </row>
    <row r="131" spans="1:66" x14ac:dyDescent="0.2">
      <c r="A131" s="47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40"/>
    </row>
    <row r="132" spans="1:66" x14ac:dyDescent="0.2">
      <c r="A132" s="47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40"/>
    </row>
    <row r="133" spans="1:66" x14ac:dyDescent="0.2">
      <c r="A133" s="47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40"/>
    </row>
    <row r="134" spans="1:66" x14ac:dyDescent="0.2">
      <c r="A134" s="47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40"/>
    </row>
    <row r="135" spans="1:66" x14ac:dyDescent="0.2">
      <c r="A135" s="47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40"/>
    </row>
    <row r="136" spans="1:66" x14ac:dyDescent="0.2">
      <c r="A136" s="47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40"/>
    </row>
    <row r="137" spans="1:66" x14ac:dyDescent="0.2">
      <c r="A137" s="47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40"/>
    </row>
    <row r="138" spans="1:66" x14ac:dyDescent="0.2">
      <c r="A138" s="47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40"/>
    </row>
    <row r="139" spans="1:66" x14ac:dyDescent="0.2">
      <c r="A139" s="47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40"/>
    </row>
    <row r="140" spans="1:66" x14ac:dyDescent="0.2">
      <c r="A140" s="47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40"/>
    </row>
    <row r="141" spans="1:66" x14ac:dyDescent="0.2">
      <c r="A141" s="47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40"/>
    </row>
    <row r="142" spans="1:66" x14ac:dyDescent="0.2">
      <c r="A142" s="47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40"/>
    </row>
    <row r="143" spans="1:66" x14ac:dyDescent="0.2">
      <c r="A143" s="47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40"/>
    </row>
    <row r="144" spans="1:66" x14ac:dyDescent="0.2">
      <c r="A144" s="47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40"/>
    </row>
    <row r="145" spans="1:66" x14ac:dyDescent="0.2">
      <c r="A145" s="47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40"/>
    </row>
    <row r="146" spans="1:66" x14ac:dyDescent="0.2">
      <c r="A146" s="47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40"/>
    </row>
    <row r="147" spans="1:66" x14ac:dyDescent="0.2">
      <c r="A147" s="47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40"/>
    </row>
    <row r="148" spans="1:66" x14ac:dyDescent="0.2">
      <c r="A148" s="47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40"/>
    </row>
    <row r="149" spans="1:66" x14ac:dyDescent="0.2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0"/>
    </row>
    <row r="150" spans="1:66" x14ac:dyDescent="0.2">
      <c r="A150" s="47"/>
      <c r="B150" s="65" t="str">
        <f ca="1">HYPERLINK("#BOLETIM!"&amp;ADDRESS(ROW(BOLETIM!$A$16)+8,COLUMN(BOLETIM!$A$16)),TRIM(INDIRECT("BOLETIM!"&amp;ADDRESS(ROW(BOLETIM!$A$16)+8,COLUMN(BOLETIM!$A$16)+2))))</f>
        <v/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5" t="str">
        <f ca="1">HYPERLINK("#BOLETIM!"&amp;ADDRESS(ROW(BOLETIM!$A$16)+9,COLUMN(BOLETIM!$A$16)),TRIM(INDIRECT("BOLETIM!"&amp;ADDRESS(ROW(BOLETIM!$A$16)+9,COLUMN(BOLETIM!$A$16)+2))))</f>
        <v/>
      </c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5" t="str">
        <f ca="1">HYPERLINK("#BOLETIM!"&amp;ADDRESS(ROW(BOLETIM!$A$16)+10,COLUMN(BOLETIM!$A$16)),TRIM(INDIRECT("BOLETIM!"&amp;ADDRESS(ROW(BOLETIM!$A$16)+10,COLUMN(BOLETIM!$A$16)+2))))</f>
        <v/>
      </c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5" t="str">
        <f ca="1">HYPERLINK("#BOLETIM!"&amp;ADDRESS(ROW(BOLETIM!$A$16)+11,COLUMN(BOLETIM!$A$16)),TRIM(INDIRECT("BOLETIM!"&amp;ADDRESS(ROW(BOLETIM!$A$16)+11,COLUMN(BOLETIM!$A$16)+2))))</f>
        <v/>
      </c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40"/>
    </row>
    <row r="151" spans="1:66" x14ac:dyDescent="0.2">
      <c r="A151" s="4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40"/>
    </row>
    <row r="152" spans="1:66" x14ac:dyDescent="0.2">
      <c r="A152" s="47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40"/>
    </row>
    <row r="153" spans="1:66" x14ac:dyDescent="0.2">
      <c r="A153" s="47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40"/>
    </row>
    <row r="154" spans="1:66" x14ac:dyDescent="0.2">
      <c r="A154" s="47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40"/>
    </row>
    <row r="155" spans="1:66" x14ac:dyDescent="0.2">
      <c r="A155" s="47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40"/>
    </row>
    <row r="156" spans="1:66" x14ac:dyDescent="0.2">
      <c r="A156" s="47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40"/>
    </row>
    <row r="157" spans="1:66" x14ac:dyDescent="0.2">
      <c r="A157" s="47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40"/>
    </row>
    <row r="158" spans="1:66" x14ac:dyDescent="0.2">
      <c r="A158" s="47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40"/>
    </row>
    <row r="159" spans="1:66" x14ac:dyDescent="0.2">
      <c r="A159" s="47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40"/>
    </row>
    <row r="160" spans="1:66" x14ac:dyDescent="0.2">
      <c r="A160" s="47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40"/>
    </row>
    <row r="161" spans="1:66" x14ac:dyDescent="0.2">
      <c r="A161" s="47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40"/>
    </row>
    <row r="162" spans="1:66" x14ac:dyDescent="0.2">
      <c r="A162" s="47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40"/>
    </row>
    <row r="163" spans="1:66" x14ac:dyDescent="0.2">
      <c r="A163" s="47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40"/>
    </row>
    <row r="164" spans="1:66" x14ac:dyDescent="0.2">
      <c r="A164" s="47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40"/>
    </row>
    <row r="165" spans="1:66" x14ac:dyDescent="0.2">
      <c r="A165" s="47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40"/>
    </row>
    <row r="166" spans="1:66" x14ac:dyDescent="0.2">
      <c r="A166" s="47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40"/>
    </row>
    <row r="167" spans="1:66" x14ac:dyDescent="0.2">
      <c r="A167" s="47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40"/>
    </row>
    <row r="168" spans="1:66" x14ac:dyDescent="0.2">
      <c r="A168" s="47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40"/>
    </row>
    <row r="169" spans="1:66" x14ac:dyDescent="0.2">
      <c r="A169" s="47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40"/>
    </row>
    <row r="170" spans="1:66" x14ac:dyDescent="0.2">
      <c r="A170" s="47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40"/>
    </row>
    <row r="171" spans="1:66" x14ac:dyDescent="0.2">
      <c r="A171" s="47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40"/>
    </row>
    <row r="172" spans="1:66" x14ac:dyDescent="0.2">
      <c r="A172" s="47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40"/>
    </row>
    <row r="173" spans="1:66" x14ac:dyDescent="0.2">
      <c r="A173" s="47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40"/>
    </row>
    <row r="174" spans="1:66" x14ac:dyDescent="0.2">
      <c r="A174" s="4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0"/>
    </row>
    <row r="175" spans="1:66" x14ac:dyDescent="0.2">
      <c r="A175" s="47"/>
      <c r="B175" s="65" t="str">
        <f ca="1">HYPERLINK("#BOLETIM!"&amp;ADDRESS(ROW(BOLETIM!$A$16)+12,COLUMN(BOLETIM!$A$16)),TRIM(INDIRECT("BOLETIM!"&amp;ADDRESS(ROW(BOLETIM!$A$16)+12,COLUMN(BOLETIM!$A$16)+2))))</f>
        <v/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5" t="str">
        <f ca="1">HYPERLINK("#BOLETIM!"&amp;ADDRESS(ROW(BOLETIM!$A$16)+13,COLUMN(BOLETIM!$A$16)),TRIM(INDIRECT("BOLETIM!"&amp;ADDRESS(ROW(BOLETIM!$A$16)+13,COLUMN(BOLETIM!$A$16)+2))))</f>
        <v/>
      </c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5" t="str">
        <f ca="1">HYPERLINK("#BOLETIM!"&amp;ADDRESS(ROW(BOLETIM!$A$16)+14,COLUMN(BOLETIM!$A$16)),TRIM(INDIRECT("BOLETIM!"&amp;ADDRESS(ROW(BOLETIM!$A$16)+14,COLUMN(BOLETIM!$A$16)+2))))</f>
        <v/>
      </c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5" t="str">
        <f ca="1">HYPERLINK("#BOLETIM!"&amp;ADDRESS(ROW(BOLETIM!$A$16)+15,COLUMN(BOLETIM!$A$16)),TRIM(INDIRECT("BOLETIM!"&amp;ADDRESS(ROW(BOLETIM!$A$16)+15,COLUMN(BOLETIM!$A$16)+2))))</f>
        <v/>
      </c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40"/>
    </row>
    <row r="176" spans="1:66" x14ac:dyDescent="0.2">
      <c r="A176" s="4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40"/>
    </row>
    <row r="177" spans="1:66" x14ac:dyDescent="0.2">
      <c r="A177" s="47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40"/>
    </row>
    <row r="178" spans="1:66" x14ac:dyDescent="0.2">
      <c r="A178" s="47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40"/>
    </row>
    <row r="179" spans="1:66" x14ac:dyDescent="0.2">
      <c r="A179" s="47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40"/>
    </row>
    <row r="180" spans="1:66" x14ac:dyDescent="0.2">
      <c r="A180" s="47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40"/>
    </row>
    <row r="181" spans="1:66" x14ac:dyDescent="0.2">
      <c r="A181" s="47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40"/>
    </row>
    <row r="182" spans="1:66" x14ac:dyDescent="0.2">
      <c r="A182" s="47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40"/>
    </row>
    <row r="183" spans="1:66" x14ac:dyDescent="0.2">
      <c r="A183" s="47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40"/>
    </row>
    <row r="184" spans="1:66" x14ac:dyDescent="0.2">
      <c r="A184" s="47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40"/>
    </row>
    <row r="185" spans="1:66" x14ac:dyDescent="0.2">
      <c r="A185" s="47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40"/>
    </row>
    <row r="186" spans="1:66" x14ac:dyDescent="0.2">
      <c r="A186" s="47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40"/>
    </row>
    <row r="187" spans="1:66" x14ac:dyDescent="0.2">
      <c r="A187" s="47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40"/>
    </row>
    <row r="188" spans="1:66" x14ac:dyDescent="0.2">
      <c r="A188" s="47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40"/>
    </row>
    <row r="189" spans="1:66" x14ac:dyDescent="0.2">
      <c r="A189" s="47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40"/>
    </row>
    <row r="190" spans="1:66" x14ac:dyDescent="0.2">
      <c r="A190" s="47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40"/>
    </row>
    <row r="191" spans="1:66" x14ac:dyDescent="0.2">
      <c r="A191" s="47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40"/>
    </row>
    <row r="192" spans="1:66" x14ac:dyDescent="0.2">
      <c r="A192" s="47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40"/>
    </row>
    <row r="193" spans="1:66" x14ac:dyDescent="0.2">
      <c r="A193" s="47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40"/>
    </row>
    <row r="194" spans="1:66" x14ac:dyDescent="0.2">
      <c r="A194" s="47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40"/>
    </row>
    <row r="195" spans="1:66" x14ac:dyDescent="0.2">
      <c r="A195" s="47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40"/>
    </row>
    <row r="196" spans="1:66" x14ac:dyDescent="0.2">
      <c r="A196" s="47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40"/>
    </row>
    <row r="197" spans="1:66" x14ac:dyDescent="0.2">
      <c r="A197" s="47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40"/>
    </row>
    <row r="198" spans="1:66" x14ac:dyDescent="0.2">
      <c r="A198" s="47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40"/>
    </row>
    <row r="199" spans="1:66" x14ac:dyDescent="0.2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0"/>
    </row>
    <row r="200" spans="1:66" x14ac:dyDescent="0.2">
      <c r="A200" s="49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0"/>
    </row>
  </sheetData>
  <sheetProtection sheet="1" objects="1" scenarios="1"/>
  <mergeCells count="338">
    <mergeCell ref="BJ33:BM33"/>
    <mergeCell ref="BB33:BI33"/>
    <mergeCell ref="B5:M6"/>
    <mergeCell ref="B3:M4"/>
    <mergeCell ref="AS29:AU29"/>
    <mergeCell ref="AY29:BA29"/>
    <mergeCell ref="AS28:AU28"/>
    <mergeCell ref="AV28:AX28"/>
    <mergeCell ref="AY28:BA28"/>
    <mergeCell ref="AD29:AF29"/>
    <mergeCell ref="AG29:AI29"/>
    <mergeCell ref="AJ29:AL29"/>
    <mergeCell ref="AM29:AO29"/>
    <mergeCell ref="AP29:AR29"/>
    <mergeCell ref="AV29:AX29"/>
    <mergeCell ref="AD28:AF28"/>
    <mergeCell ref="AG28:AI28"/>
    <mergeCell ref="AJ28:AL28"/>
    <mergeCell ref="AM28:AO28"/>
    <mergeCell ref="AP28:AR28"/>
    <mergeCell ref="AS26:AU26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32:BM32"/>
    <mergeCell ref="X33:Z33"/>
    <mergeCell ref="AS30:AU30"/>
    <mergeCell ref="AV30:AX30"/>
    <mergeCell ref="AY30:BA30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AD30:AF30"/>
    <mergeCell ref="AG30:AI30"/>
    <mergeCell ref="AJ30:AL30"/>
    <mergeCell ref="AM30:AO30"/>
    <mergeCell ref="AP30:AR30"/>
    <mergeCell ref="AA33:AC33"/>
    <mergeCell ref="AV26:AX26"/>
    <mergeCell ref="AY26:BA26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AD26:AF26"/>
    <mergeCell ref="AG26:AI26"/>
    <mergeCell ref="AJ26:AL26"/>
    <mergeCell ref="AM26:AO26"/>
    <mergeCell ref="AP26:AR26"/>
    <mergeCell ref="AY22:BA22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AJ22:AL22"/>
    <mergeCell ref="AM22:AO22"/>
    <mergeCell ref="AP22:AR22"/>
    <mergeCell ref="AS22:AU22"/>
    <mergeCell ref="AV22:AX22"/>
    <mergeCell ref="AD22:AF22"/>
    <mergeCell ref="AG22:AI22"/>
    <mergeCell ref="AY20:BA20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AJ20:AL20"/>
    <mergeCell ref="AM20:AO20"/>
    <mergeCell ref="AP20:AR20"/>
    <mergeCell ref="AS20:AU20"/>
    <mergeCell ref="AV20:AX20"/>
    <mergeCell ref="AD20:AF20"/>
    <mergeCell ref="AG20:AI20"/>
    <mergeCell ref="AY18:BA18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AJ18:AL18"/>
    <mergeCell ref="AM18:AO18"/>
    <mergeCell ref="AP18:AR18"/>
    <mergeCell ref="AS18:AU18"/>
    <mergeCell ref="AV18:AX18"/>
    <mergeCell ref="AD18:AF18"/>
    <mergeCell ref="AG18:AI18"/>
    <mergeCell ref="AY16:BA16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AJ16:AL16"/>
    <mergeCell ref="AM16:AO16"/>
    <mergeCell ref="AP16:AR16"/>
    <mergeCell ref="AS16:AU16"/>
    <mergeCell ref="AV16:AX16"/>
    <mergeCell ref="AD16:AF16"/>
    <mergeCell ref="AG16:AI16"/>
    <mergeCell ref="AY14:BA14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AJ14:AL14"/>
    <mergeCell ref="AM14:AO14"/>
    <mergeCell ref="AP14:AR14"/>
    <mergeCell ref="AS14:AU14"/>
    <mergeCell ref="AV14:AX14"/>
    <mergeCell ref="AD14:AF14"/>
    <mergeCell ref="AG14:AI14"/>
    <mergeCell ref="AP12:AR12"/>
    <mergeCell ref="AS12:AU12"/>
    <mergeCell ref="AV12:AX12"/>
    <mergeCell ref="AY12:BA12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AD12:AF12"/>
    <mergeCell ref="AG12:AI12"/>
    <mergeCell ref="AA29:AC29"/>
    <mergeCell ref="AA30:AC30"/>
    <mergeCell ref="AA12:AC12"/>
    <mergeCell ref="AA13:AC13"/>
    <mergeCell ref="AA14:AC14"/>
    <mergeCell ref="AA15:AC15"/>
    <mergeCell ref="AD25:AF2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U33:W33"/>
    <mergeCell ref="X12:Z12"/>
    <mergeCell ref="X13:Z13"/>
    <mergeCell ref="X14:Z14"/>
    <mergeCell ref="X15:Z15"/>
    <mergeCell ref="X16:Z16"/>
    <mergeCell ref="X17:Z17"/>
    <mergeCell ref="X18:Z18"/>
    <mergeCell ref="X19:Z19"/>
    <mergeCell ref="X20:Z20"/>
    <mergeCell ref="X21:Z21"/>
    <mergeCell ref="X22:Z22"/>
    <mergeCell ref="X23:Z23"/>
    <mergeCell ref="X24:Z24"/>
    <mergeCell ref="X25:Z25"/>
    <mergeCell ref="X26:Z26"/>
    <mergeCell ref="U28:W28"/>
    <mergeCell ref="U29:W29"/>
    <mergeCell ref="U20:W20"/>
    <mergeCell ref="U21:W21"/>
    <mergeCell ref="U22:W22"/>
    <mergeCell ref="X27:Z27"/>
    <mergeCell ref="X28:Z28"/>
    <mergeCell ref="X29:Z29"/>
    <mergeCell ref="U13:W13"/>
    <mergeCell ref="U14:W14"/>
    <mergeCell ref="U15:W15"/>
    <mergeCell ref="U16:W16"/>
    <mergeCell ref="U17:W17"/>
    <mergeCell ref="C27:T27"/>
    <mergeCell ref="C28:T28"/>
    <mergeCell ref="C29:T29"/>
    <mergeCell ref="C30:T30"/>
    <mergeCell ref="B13:T13"/>
    <mergeCell ref="B14:T14"/>
    <mergeCell ref="B15:T15"/>
    <mergeCell ref="A24:B24"/>
    <mergeCell ref="A25:B25"/>
    <mergeCell ref="A26:B26"/>
    <mergeCell ref="A27:B27"/>
    <mergeCell ref="U30:W30"/>
    <mergeCell ref="U23:W23"/>
    <mergeCell ref="U24:W24"/>
    <mergeCell ref="U25:W25"/>
    <mergeCell ref="U26:W26"/>
    <mergeCell ref="U18:W18"/>
    <mergeCell ref="U19:W19"/>
    <mergeCell ref="A28:B28"/>
    <mergeCell ref="A29:B29"/>
    <mergeCell ref="A30:B30"/>
    <mergeCell ref="A31:B31"/>
    <mergeCell ref="C16:T16"/>
    <mergeCell ref="C17:T17"/>
    <mergeCell ref="C18:T18"/>
    <mergeCell ref="C19:T19"/>
    <mergeCell ref="C20:T20"/>
    <mergeCell ref="C21:T21"/>
    <mergeCell ref="C22:T22"/>
    <mergeCell ref="C23:T23"/>
    <mergeCell ref="C24:T24"/>
    <mergeCell ref="C25:T25"/>
    <mergeCell ref="C26:T26"/>
    <mergeCell ref="A16:B16"/>
    <mergeCell ref="A17:B17"/>
    <mergeCell ref="A18:B18"/>
    <mergeCell ref="A19:B19"/>
    <mergeCell ref="A20:B20"/>
    <mergeCell ref="A21:B21"/>
    <mergeCell ref="BB26:BM26"/>
    <mergeCell ref="BB27:BM27"/>
    <mergeCell ref="C31:T31"/>
    <mergeCell ref="U31:W31"/>
    <mergeCell ref="AV24:AX24"/>
    <mergeCell ref="AY24:BA24"/>
    <mergeCell ref="AG25:AI25"/>
    <mergeCell ref="AJ25:AL25"/>
    <mergeCell ref="AM25:AO25"/>
    <mergeCell ref="AP25:AR25"/>
    <mergeCell ref="AS25:AU25"/>
    <mergeCell ref="AV25:AX25"/>
    <mergeCell ref="AY25:BA25"/>
    <mergeCell ref="AG24:AI24"/>
    <mergeCell ref="AJ24:AL24"/>
    <mergeCell ref="AM24:AO24"/>
    <mergeCell ref="U27:W27"/>
    <mergeCell ref="X30:Z30"/>
    <mergeCell ref="X31:Z31"/>
    <mergeCell ref="AA31:AC31"/>
    <mergeCell ref="AD24:AF24"/>
    <mergeCell ref="AA26:AC26"/>
    <mergeCell ref="AA27:AC27"/>
    <mergeCell ref="AA28:AC28"/>
    <mergeCell ref="CF11:CJ11"/>
    <mergeCell ref="U12:W12"/>
    <mergeCell ref="AJ12:AL12"/>
    <mergeCell ref="AM12:AO12"/>
    <mergeCell ref="CF39:CJ39"/>
    <mergeCell ref="B97:Q98"/>
    <mergeCell ref="R97:BM98"/>
    <mergeCell ref="B37:BM39"/>
    <mergeCell ref="B92:BM95"/>
    <mergeCell ref="B41:N42"/>
    <mergeCell ref="O41:AD42"/>
    <mergeCell ref="B43:BM88"/>
    <mergeCell ref="BB18:BM18"/>
    <mergeCell ref="BB19:BM19"/>
    <mergeCell ref="BB20:BM20"/>
    <mergeCell ref="BB21:BM21"/>
    <mergeCell ref="BB22:BM22"/>
    <mergeCell ref="BB13:BM13"/>
    <mergeCell ref="BB14:BM14"/>
    <mergeCell ref="BB15:BM15"/>
    <mergeCell ref="BB16:BM16"/>
    <mergeCell ref="A22:B22"/>
    <mergeCell ref="A23:B23"/>
    <mergeCell ref="BB29:BM29"/>
    <mergeCell ref="B102:Q123"/>
    <mergeCell ref="R102:AG123"/>
    <mergeCell ref="AH102:AW123"/>
    <mergeCell ref="AX102:BM123"/>
    <mergeCell ref="B100:Q101"/>
    <mergeCell ref="BG3:BM4"/>
    <mergeCell ref="AV3:BF4"/>
    <mergeCell ref="AP5:AU6"/>
    <mergeCell ref="AV5:BM6"/>
    <mergeCell ref="N5:AO6"/>
    <mergeCell ref="N3:AU4"/>
    <mergeCell ref="BB17:BM17"/>
    <mergeCell ref="BB28:BM28"/>
    <mergeCell ref="R100:AG101"/>
    <mergeCell ref="AH100:AW101"/>
    <mergeCell ref="AX100:BM101"/>
    <mergeCell ref="AP24:AR24"/>
    <mergeCell ref="AS24:AU24"/>
    <mergeCell ref="B9:BM11"/>
    <mergeCell ref="BB30:BM30"/>
    <mergeCell ref="BB31:BM31"/>
    <mergeCell ref="BB23:BM23"/>
    <mergeCell ref="BB24:BM24"/>
    <mergeCell ref="BB25:BM25"/>
    <mergeCell ref="B177:Q198"/>
    <mergeCell ref="R177:AG198"/>
    <mergeCell ref="AH177:AW198"/>
    <mergeCell ref="AX177:BM198"/>
    <mergeCell ref="B152:Q173"/>
    <mergeCell ref="R152:AG173"/>
    <mergeCell ref="AH152:AW173"/>
    <mergeCell ref="AX152:BM173"/>
    <mergeCell ref="B125:Q126"/>
    <mergeCell ref="AH150:AW151"/>
    <mergeCell ref="B127:Q148"/>
    <mergeCell ref="R127:AG148"/>
    <mergeCell ref="AH127:AW148"/>
    <mergeCell ref="AX150:BM151"/>
    <mergeCell ref="B175:Q176"/>
    <mergeCell ref="AX175:BM176"/>
    <mergeCell ref="AH175:AW176"/>
    <mergeCell ref="R175:AG176"/>
    <mergeCell ref="B150:Q151"/>
    <mergeCell ref="AX127:BM148"/>
    <mergeCell ref="R150:AG151"/>
    <mergeCell ref="AX125:BM126"/>
    <mergeCell ref="AH125:AW126"/>
    <mergeCell ref="R125:AG126"/>
  </mergeCells>
  <conditionalFormatting sqref="BB16:BM31">
    <cfRule type="expression" dxfId="6" priority="7">
      <formula>$BZ16</formula>
    </cfRule>
    <cfRule type="expression" dxfId="5" priority="8">
      <formula>$BY16</formula>
    </cfRule>
  </conditionalFormatting>
  <conditionalFormatting sqref="AG16:AR31">
    <cfRule type="expression" dxfId="4" priority="5">
      <formula>AG16&lt;$BV$14</formula>
    </cfRule>
  </conditionalFormatting>
  <conditionalFormatting sqref="AV16:AX31">
    <cfRule type="expression" dxfId="3" priority="4">
      <formula>$AV16&lt;10-$AS16</formula>
    </cfRule>
  </conditionalFormatting>
  <conditionalFormatting sqref="X16:AC31">
    <cfRule type="expression" dxfId="2" priority="3">
      <formula>$AA16&lt;1-$BR$14</formula>
    </cfRule>
  </conditionalFormatting>
  <conditionalFormatting sqref="AS16:AU31">
    <cfRule type="expression" dxfId="1" priority="2">
      <formula>VALUE(AS16)&lt;$BV$14</formula>
    </cfRule>
  </conditionalFormatting>
  <conditionalFormatting sqref="AY16:BA31">
    <cfRule type="expression" dxfId="0" priority="1">
      <formula>VALUE(AY16)&lt;$BT$14</formula>
    </cfRule>
  </conditionalFormatting>
  <dataValidations count="3">
    <dataValidation type="list" allowBlank="1" showInputMessage="1" showErrorMessage="1" sqref="O41">
      <formula1>$BR$41:$BV$41</formula1>
    </dataValidation>
    <dataValidation operator="equal" allowBlank="1" promptTitle="Digite a série / classe do(a) aluno(a)" prompt="Exemplo: 1º ANO ENSINO MÉDIO" sqref="AV5"/>
    <dataValidation operator="equal" allowBlank="1" promptTitle="Nome" prompt="Digite o nome do(a) aluno(a)" sqref="N5"/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53" fitToHeight="0" orientation="portrait" r:id="rId1"/>
  <rowBreaks count="1" manualBreakCount="1">
    <brk id="89" max="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CONFIGURAÇÕES</vt:lpstr>
      <vt:lpstr>BOLETIM</vt:lpstr>
      <vt:lpstr>BOLETIM!Area_de_impressao</vt:lpstr>
      <vt:lpstr>BOLETIM!Titulos_de_impressao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Márcio Marques</cp:lastModifiedBy>
  <dcterms:created xsi:type="dcterms:W3CDTF">2011-12-23T15:51:21Z</dcterms:created>
  <dcterms:modified xsi:type="dcterms:W3CDTF">2013-03-30T13:36:18Z</dcterms:modified>
</cp:coreProperties>
</file>